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Cohort flow" sheetId="3" state="visible" r:id="rId3"/>
    <sheet xmlns:r="http://schemas.openxmlformats.org/officeDocument/2006/relationships" name="Direct fiscal" sheetId="4" state="visible" r:id="rId4"/>
    <sheet xmlns:r="http://schemas.openxmlformats.org/officeDocument/2006/relationships" name="Indirect fiscal" sheetId="5" state="visible" r:id="rId5"/>
    <sheet xmlns:r="http://schemas.openxmlformats.org/officeDocument/2006/relationships" name="Summary" sheetId="6" state="visible" r:id="rId6"/>
    <sheet xmlns:r="http://schemas.openxmlformats.org/officeDocument/2006/relationships" name="Source &amp; corrections" sheetId="7" state="visible" r:id="rId7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5">
    <numFmt numFmtId="164" formatCode="#,##0;\(#,##0\);\-"/>
    <numFmt numFmtId="165" formatCode="0.0%;\(0.0%\);\-"/>
    <numFmt numFmtId="166" formatCode="0.00\x"/>
    <numFmt numFmtId="167" formatCode="#,##0.0;\(#,##0.0\);\-"/>
    <numFmt numFmtId="168" formatCode="#,##0.00;\(#,##0.00\);\-"/>
  </numFmts>
  <fonts count="25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A2E45"/>
      <sz val="18"/>
    </font>
    <font>
      <name val="Arial"/>
      <charset val="1"/>
      <family val="0"/>
      <i val="1"/>
      <color rgb="FF8C6B3F"/>
      <sz val="12"/>
    </font>
    <font>
      <name val="Arial"/>
      <charset val="1"/>
      <family val="0"/>
      <i val="1"/>
      <color rgb="FF6B6660"/>
      <sz val="10"/>
    </font>
    <font>
      <name val="Arial"/>
      <charset val="1"/>
      <family val="0"/>
      <sz val="10"/>
    </font>
    <font>
      <name val="Arial"/>
      <charset val="1"/>
      <family val="0"/>
      <b val="1"/>
      <color rgb="FF1A2E45"/>
      <sz val="11"/>
    </font>
    <font>
      <name val="Arial"/>
      <charset val="1"/>
      <family val="0"/>
      <b val="1"/>
      <sz val="10"/>
    </font>
    <font>
      <name val="Arial"/>
      <charset val="1"/>
      <family val="0"/>
      <b val="1"/>
      <color rgb="FF1A2E45"/>
      <sz val="14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00000"/>
      <sz val="10"/>
    </font>
    <font>
      <name val="Arial"/>
      <charset val="1"/>
      <family val="0"/>
      <color rgb="FF0000FF"/>
      <sz val="10"/>
    </font>
    <font>
      <name val="Arial"/>
      <charset val="1"/>
      <family val="0"/>
      <i val="1"/>
      <color rgb="FF6B6660"/>
      <sz val="9"/>
    </font>
    <font>
      <name val="Arial"/>
      <charset val="1"/>
      <family val="0"/>
      <b val="1"/>
      <color rgb="FF8C6B3F"/>
      <sz val="11"/>
    </font>
    <font>
      <name val="Arial"/>
      <charset val="1"/>
      <family val="0"/>
      <color rgb="FF008000"/>
      <sz val="10"/>
    </font>
    <font>
      <name val="Arial"/>
      <charset val="1"/>
      <family val="0"/>
      <color rgb="FF000000"/>
      <sz val="10"/>
    </font>
    <font>
      <name val="Arial"/>
      <charset val="1"/>
      <family val="0"/>
      <b val="1"/>
      <color rgb="FF1A2E45"/>
      <sz val="12"/>
    </font>
    <font>
      <name val="Arial"/>
      <charset val="1"/>
      <family val="0"/>
      <sz val="9"/>
    </font>
    <font>
      <name val="Calibri"/>
      <b val="1"/>
      <color rgb="001A2E45"/>
      <sz val="14"/>
    </font>
    <font>
      <name val="Calibri"/>
      <color rgb="001E1E1C"/>
      <sz val="11"/>
    </font>
    <font>
      <name val="Calibri"/>
      <b val="1"/>
      <color rgb="008C6B3F"/>
      <sz val="11"/>
    </font>
    <font>
      <name val="Calibri"/>
      <i val="1"/>
      <color rgb="008C6B3F"/>
      <sz val="11"/>
    </font>
    <font>
      <name val="Calibri"/>
      <i val="1"/>
      <color rgb="006B6660"/>
      <sz val="11"/>
    </font>
  </fonts>
  <fills count="6">
    <fill>
      <patternFill/>
    </fill>
    <fill>
      <patternFill patternType="gray125"/>
    </fill>
    <fill>
      <patternFill patternType="solid">
        <fgColor rgb="FF1A2E45"/>
        <bgColor rgb="FF003366"/>
      </patternFill>
    </fill>
    <fill>
      <patternFill patternType="solid">
        <fgColor rgb="FFE5E5E5"/>
        <bgColor rgb="FFF4EFE6"/>
      </patternFill>
    </fill>
    <fill>
      <patternFill patternType="solid">
        <fgColor rgb="FFFFFFCC"/>
        <bgColor rgb="FFF4EFE6"/>
      </patternFill>
    </fill>
    <fill>
      <patternFill patternType="solid">
        <fgColor rgb="FFF4EFE6"/>
        <bgColor rgb="FFE5E5E5"/>
      </patternFill>
    </fill>
  </fills>
  <borders count="1">
    <border>
      <left/>
      <right/>
      <top/>
      <bottom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74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11" fillId="2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12" fillId="3" borderId="0" applyAlignment="1" pivotButton="0" quotePrefix="0" xfId="0">
      <alignment horizontal="general" vertical="bottom"/>
    </xf>
    <xf numFmtId="0" fontId="12" fillId="3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general" vertical="bottom"/>
    </xf>
    <xf numFmtId="164" fontId="13" fillId="0" borderId="0" applyAlignment="1" pivotButton="0" quotePrefix="0" xfId="0">
      <alignment horizontal="center" vertical="center"/>
    </xf>
    <xf numFmtId="0" fontId="14" fillId="0" borderId="0" applyAlignment="1" pivotButton="0" quotePrefix="0" xfId="0">
      <alignment horizontal="left" vertical="top" wrapText="1"/>
    </xf>
    <xf numFmtId="165" fontId="13" fillId="0" borderId="0" applyAlignment="1" pivotButton="0" quotePrefix="0" xfId="0">
      <alignment horizontal="center" vertical="center"/>
    </xf>
    <xf numFmtId="165" fontId="13" fillId="4" borderId="0" applyAlignment="1" pivotButton="0" quotePrefix="0" xfId="0">
      <alignment horizontal="center" vertical="center"/>
    </xf>
    <xf numFmtId="166" fontId="13" fillId="4" borderId="0" applyAlignment="1" pivotButton="0" quotePrefix="0" xfId="0">
      <alignment horizontal="center" vertical="center"/>
    </xf>
    <xf numFmtId="10" fontId="13" fillId="0" borderId="0" applyAlignment="1" pivotButton="0" quotePrefix="0" xfId="0">
      <alignment horizontal="center" vertical="center"/>
    </xf>
    <xf numFmtId="0" fontId="15" fillId="0" borderId="0" applyAlignment="1" pivotButton="0" quotePrefix="0" xfId="0">
      <alignment horizontal="general" vertical="bottom"/>
    </xf>
    <xf numFmtId="164" fontId="16" fillId="0" borderId="0" applyAlignment="1" pivotButton="0" quotePrefix="0" xfId="0">
      <alignment horizontal="center" vertical="center"/>
    </xf>
    <xf numFmtId="164" fontId="17" fillId="0" borderId="0" applyAlignment="1" pivotButton="0" quotePrefix="0" xfId="0">
      <alignment horizontal="center" vertical="center"/>
    </xf>
    <xf numFmtId="167" fontId="16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general" vertical="bottom"/>
    </xf>
    <xf numFmtId="168" fontId="16" fillId="0" borderId="0" applyAlignment="1" pivotButton="0" quotePrefix="0" xfId="0">
      <alignment horizontal="center" vertical="center"/>
    </xf>
    <xf numFmtId="167" fontId="17" fillId="0" borderId="0" applyAlignment="1" pivotButton="0" quotePrefix="0" xfId="0">
      <alignment horizontal="center" vertical="center"/>
    </xf>
    <xf numFmtId="0" fontId="11" fillId="2" borderId="0" applyAlignment="1" pivotButton="0" quotePrefix="0" xfId="0">
      <alignment horizontal="center" vertical="center"/>
    </xf>
    <xf numFmtId="0" fontId="18" fillId="5" borderId="0" applyAlignment="1" pivotButton="0" quotePrefix="0" xfId="0">
      <alignment horizontal="general" vertical="bottom"/>
    </xf>
    <xf numFmtId="164" fontId="0" fillId="0" borderId="0" applyAlignment="1" pivotButton="0" quotePrefix="0" xfId="0">
      <alignment horizontal="center" vertical="center"/>
    </xf>
    <xf numFmtId="164" fontId="12" fillId="0" borderId="0" applyAlignment="1" pivotButton="0" quotePrefix="0" xfId="0">
      <alignment horizontal="center" vertical="center"/>
    </xf>
    <xf numFmtId="0" fontId="18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19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2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12" fillId="3" borderId="0" applyAlignment="1" pivotButton="0" quotePrefix="0" xfId="0">
      <alignment horizontal="general" vertical="bottom"/>
    </xf>
    <xf numFmtId="0" fontId="12" fillId="3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general" vertical="bottom"/>
    </xf>
    <xf numFmtId="164" fontId="13" fillId="0" borderId="0" applyAlignment="1" pivotButton="0" quotePrefix="0" xfId="0">
      <alignment horizontal="center" vertical="center"/>
    </xf>
    <xf numFmtId="0" fontId="14" fillId="0" borderId="0" applyAlignment="1" pivotButton="0" quotePrefix="0" xfId="0">
      <alignment horizontal="left" vertical="top" wrapText="1"/>
    </xf>
    <xf numFmtId="165" fontId="13" fillId="0" borderId="0" applyAlignment="1" pivotButton="0" quotePrefix="0" xfId="0">
      <alignment horizontal="center" vertical="center"/>
    </xf>
    <xf numFmtId="165" fontId="13" fillId="4" borderId="0" applyAlignment="1" pivotButton="0" quotePrefix="0" xfId="0">
      <alignment horizontal="center" vertical="center"/>
    </xf>
    <xf numFmtId="166" fontId="13" fillId="4" borderId="0" applyAlignment="1" pivotButton="0" quotePrefix="0" xfId="0">
      <alignment horizontal="center" vertical="center"/>
    </xf>
    <xf numFmtId="10" fontId="13" fillId="0" borderId="0" applyAlignment="1" pivotButton="0" quotePrefix="0" xfId="0">
      <alignment horizontal="center" vertical="center"/>
    </xf>
    <xf numFmtId="0" fontId="15" fillId="0" borderId="0" applyAlignment="1" pivotButton="0" quotePrefix="0" xfId="0">
      <alignment horizontal="general" vertical="bottom"/>
    </xf>
    <xf numFmtId="164" fontId="16" fillId="0" borderId="0" applyAlignment="1" pivotButton="0" quotePrefix="0" xfId="0">
      <alignment horizontal="center" vertical="center"/>
    </xf>
    <xf numFmtId="164" fontId="17" fillId="0" borderId="0" applyAlignment="1" pivotButton="0" quotePrefix="0" xfId="0">
      <alignment horizontal="center" vertical="center"/>
    </xf>
    <xf numFmtId="167" fontId="16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general" vertical="bottom"/>
    </xf>
    <xf numFmtId="168" fontId="16" fillId="0" borderId="0" applyAlignment="1" pivotButton="0" quotePrefix="0" xfId="0">
      <alignment horizontal="center" vertical="center"/>
    </xf>
    <xf numFmtId="167" fontId="17" fillId="0" borderId="0" applyAlignment="1" pivotButton="0" quotePrefix="0" xfId="0">
      <alignment horizontal="center" vertical="center"/>
    </xf>
    <xf numFmtId="0" fontId="11" fillId="2" borderId="0" applyAlignment="1" pivotButton="0" quotePrefix="0" xfId="0">
      <alignment horizontal="center" vertical="center"/>
    </xf>
    <xf numFmtId="0" fontId="18" fillId="5" borderId="0" applyAlignment="1" pivotButton="0" quotePrefix="0" xfId="0">
      <alignment horizontal="general" vertical="bottom"/>
    </xf>
    <xf numFmtId="164" fontId="0" fillId="0" borderId="0" applyAlignment="1" pivotButton="0" quotePrefix="0" xfId="0">
      <alignment horizontal="center" vertical="center"/>
    </xf>
    <xf numFmtId="164" fontId="12" fillId="0" borderId="0" applyAlignment="1" pivotButton="0" quotePrefix="0" xfId="0">
      <alignment horizontal="center" vertical="center"/>
    </xf>
    <xf numFmtId="0" fontId="18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19" fillId="0" borderId="0" applyAlignment="1" pivotButton="0" quotePrefix="0" xfId="0">
      <alignment horizontal="left" vertical="top" wrapText="1"/>
    </xf>
    <xf numFmtId="0" fontId="20" fillId="0" borderId="0" applyAlignment="1" pivotButton="0" quotePrefix="0" xfId="0">
      <alignment vertical="top"/>
    </xf>
    <xf numFmtId="0" fontId="21" fillId="0" borderId="0" applyAlignment="1" pivotButton="0" quotePrefix="0" xfId="0">
      <alignment vertical="top"/>
    </xf>
    <xf numFmtId="0" fontId="22" fillId="0" borderId="0" applyAlignment="1" pivotButton="0" quotePrefix="0" xfId="0">
      <alignment vertical="top"/>
    </xf>
    <xf numFmtId="0" fontId="23" fillId="0" borderId="0" applyAlignment="1" pivotButton="0" quotePrefix="0" xfId="0">
      <alignment vertical="top"/>
    </xf>
    <xf numFmtId="0" fontId="24" fillId="0" borderId="0" applyAlignment="1" pivotButton="0" quotePrefix="0" xfId="0">
      <alignment vertical="top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C6B3F"/>
      <rgbColor rgb="FF800080"/>
      <rgbColor rgb="FF008080"/>
      <rgbColor rgb="FFC0C0C0"/>
      <rgbColor rgb="FF808080"/>
      <rgbColor rgb="FF9999FF"/>
      <rgbColor rgb="FF993366"/>
      <rgbColor rgb="FFFFFFCC"/>
      <rgbColor rgb="FFF4EFE6"/>
      <rgbColor rgb="FF660066"/>
      <rgbColor rgb="FFFF8080"/>
      <rgbColor rgb="FF0066CC"/>
      <rgbColor rgb="FFE5E5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66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2E4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A82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00" customWidth="1" style="35" min="1" max="1"/>
  </cols>
  <sheetData>
    <row r="1" ht="22.05" customHeight="1" s="36">
      <c r="A1" s="37" t="inlineStr">
        <is>
          <t>The Longer Look — UK Tech IHT Reform</t>
        </is>
      </c>
    </row>
    <row r="2" ht="15" customHeight="1" s="36">
      <c r="A2" s="38" t="inlineStr">
        <is>
          <t>Second-order fiscal model</t>
        </is>
      </c>
    </row>
    <row r="3" ht="15" customHeight="1" s="36">
      <c r="A3" s="39" t="inlineStr">
        <is>
          <t>30 April 2026 · thelongerlook.com</t>
        </is>
      </c>
    </row>
    <row r="4" ht="15" customHeight="1" s="36">
      <c r="A4" s="40" t="n"/>
    </row>
    <row r="5" ht="15" customHeight="1" s="36">
      <c r="A5" s="41" t="inlineStr">
        <is>
          <t>WHAT THIS IS</t>
        </is>
      </c>
    </row>
    <row r="6" ht="15" customHeight="1" s="36">
      <c r="A6" s="40" t="n"/>
    </row>
    <row r="7" ht="15" customHeight="1" s="36">
      <c r="A7" s="40" t="inlineStr">
        <is>
          <t>This spreadsheet models the fiscal effect on the UK Treasury of three policy options for</t>
        </is>
      </c>
    </row>
    <row r="8" ht="15" customHeight="1" s="36">
      <c r="A8" s="40" t="inlineStr">
        <is>
          <t>Business Property Relief on unlisted UK tech-trading-company shares — both the direct</t>
        </is>
      </c>
    </row>
    <row r="9" ht="15" customHeight="1" s="36">
      <c r="A9" s="40" t="inlineStr">
        <is>
          <t>effect (IHT collected) and the indirect effect (the wider tax base from companies the</t>
        </is>
      </c>
    </row>
    <row r="10" ht="15" customHeight="1" s="36">
      <c r="A10" s="40" t="inlineStr">
        <is>
          <t>founder cohort builds and operates in the UK).</t>
        </is>
      </c>
    </row>
    <row r="11" ht="15" customHeight="1" s="36">
      <c r="A11" s="40" t="n"/>
    </row>
    <row r="12" ht="15" customHeight="1" s="36">
      <c r="A12" s="40" t="inlineStr">
        <is>
          <t>It is a companion to the article "Inheritance Tax and the UK Tech Cohort" published</t>
        </is>
      </c>
    </row>
    <row r="13" ht="15" customHeight="1" s="36">
      <c r="A13" s="40" t="inlineStr">
        <is>
          <t>on thelongerlook.com on 30 April 2026.</t>
        </is>
      </c>
    </row>
    <row r="14" ht="15" customHeight="1" s="36">
      <c r="A14" s="40" t="n"/>
    </row>
    <row r="15" ht="15" customHeight="1" s="36">
      <c r="A15" s="41" t="inlineStr">
        <is>
          <t>WHAT IT IS NOT</t>
        </is>
      </c>
    </row>
    <row r="16" ht="15" customHeight="1" s="36">
      <c r="A16" s="40" t="n"/>
    </row>
    <row r="17" ht="15" customHeight="1" s="36">
      <c r="A17" s="40" t="inlineStr">
        <is>
          <t>This is not an HMRC forecast. The numbers in this model are the author's estimates,</t>
        </is>
      </c>
    </row>
    <row r="18" ht="15" customHeight="1" s="36">
      <c r="A18" s="40" t="inlineStr">
        <is>
          <t>anchored where possible to public sources (OBR, HMRC, Companies House, ONS, BVCA).</t>
        </is>
      </c>
    </row>
    <row r="19" ht="15" customHeight="1" s="36">
      <c r="A19" s="40" t="inlineStr">
        <is>
          <t>Many inputs are uncertain, and the central case may be wrong. The model is most useful</t>
        </is>
      </c>
    </row>
    <row r="20" ht="15" customHeight="1" s="36">
      <c r="A20" s="40" t="inlineStr">
        <is>
          <t>for showing which assumptions matter most and how the answer moves under different</t>
        </is>
      </c>
    </row>
    <row r="21" ht="15" customHeight="1" s="36">
      <c r="A21" s="40" t="inlineStr">
        <is>
          <t>assumptions, not for producing a single definitive number.</t>
        </is>
      </c>
    </row>
    <row r="22" ht="15" customHeight="1" s="36">
      <c r="A22" s="40" t="n"/>
    </row>
    <row r="23" ht="15" customHeight="1" s="36">
      <c r="A23" s="41" t="inlineStr">
        <is>
          <t>HOW TO USE IT</t>
        </is>
      </c>
    </row>
    <row r="24" ht="15" customHeight="1" s="36">
      <c r="A24" s="40" t="n"/>
    </row>
    <row r="25" ht="15" customHeight="1" s="36">
      <c r="A25" s="40" t="inlineStr">
        <is>
          <t>1. Read this tab.</t>
        </is>
      </c>
    </row>
    <row r="26" ht="15" customHeight="1" s="36">
      <c r="A26" s="40" t="inlineStr">
        <is>
          <t>2. Open the Assumptions tab. Every blue number is editable. Change any of them and</t>
        </is>
      </c>
    </row>
    <row r="27" ht="15" customHeight="1" s="36">
      <c r="A27" s="40" t="inlineStr">
        <is>
          <t xml:space="preserve">   the rest of the model will recompute.</t>
        </is>
      </c>
    </row>
    <row r="28" ht="15" customHeight="1" s="36">
      <c r="A28" s="40" t="inlineStr">
        <is>
          <t>3. Look at the Summary tab to see the 25-year fiscal effect of each policy option</t>
        </is>
      </c>
    </row>
    <row r="29" ht="15" customHeight="1" s="36">
      <c r="A29" s="40" t="inlineStr">
        <is>
          <t xml:space="preserve">   under three scenarios (best / central / worst case).</t>
        </is>
      </c>
    </row>
    <row r="30" ht="15" customHeight="1" s="36">
      <c r="A30" s="40" t="inlineStr">
        <is>
          <t>4. The Cohort flow, Direct fiscal, and Indirect fiscal tabs show the underlying</t>
        </is>
      </c>
    </row>
    <row r="31" ht="15" customHeight="1" s="36">
      <c r="A31" s="40" t="inlineStr">
        <is>
          <t xml:space="preserve">   computations. They are auditable.</t>
        </is>
      </c>
    </row>
    <row r="32" ht="15" customHeight="1" s="36">
      <c r="A32" s="40" t="n"/>
    </row>
    <row r="33" ht="15" customHeight="1" s="36">
      <c r="A33" s="41" t="inlineStr">
        <is>
          <t>THE THREE POLICY OPTIONS</t>
        </is>
      </c>
    </row>
    <row r="34" ht="15" customHeight="1" s="36">
      <c r="A34" s="40" t="n"/>
    </row>
    <row r="35" ht="15" customHeight="1" s="36">
      <c r="A35" s="42" t="inlineStr">
        <is>
          <t>Option A — HOLD: Keep IHT-at-death. Adopt the four practical fixes everyone agrees</t>
        </is>
      </c>
    </row>
    <row r="36" ht="15" customHeight="1" s="36">
      <c r="A36" s="40" t="inlineStr">
        <is>
          <t>on. Resource HMRC to handle the dispute caseload.</t>
        </is>
      </c>
    </row>
    <row r="37" ht="15" customHeight="1" s="36">
      <c r="A37" s="40" t="n"/>
    </row>
    <row r="38" ht="15" customHeight="1" s="36">
      <c r="A38" s="42" t="inlineStr">
        <is>
          <t>Option B — CHANGE: Replace IHT-at-death with CGT-on-realisation for unlisted UK</t>
        </is>
      </c>
    </row>
    <row r="39" ht="15" customHeight="1" s="36">
      <c r="A39" s="40" t="inlineStr">
        <is>
          <t>trading-company shares above the £2.5m allowance. Long-stop deemed-disposal at year</t>
        </is>
      </c>
    </row>
    <row r="40" ht="15" customHeight="1" s="36">
      <c r="A40" s="40" t="inlineStr">
        <is>
          <t>10-15. No base-cost uplift on death.</t>
        </is>
      </c>
    </row>
    <row r="41" ht="15" customHeight="1" s="36">
      <c r="A41" s="40" t="n"/>
    </row>
    <row r="42" ht="15" customHeight="1" s="36">
      <c r="A42" s="42" t="inlineStr">
        <is>
          <t>Option C — WAIT: Adopt the practical fixes. Decide on the mechanism question in</t>
        </is>
      </c>
    </row>
    <row r="43" ht="15" customHeight="1" s="36">
      <c r="A43" s="40" t="inlineStr">
        <is>
          <t>two to three years when there is real evidence. The strongest version commits the</t>
        </is>
      </c>
    </row>
    <row r="44" ht="15" customHeight="1" s="36">
      <c r="A44" s="40" t="inlineStr">
        <is>
          <t>government, in advance, to switching to Option B if defined evidence thresholds are</t>
        </is>
      </c>
    </row>
    <row r="45" ht="15" customHeight="1" s="36">
      <c r="A45" s="40" t="inlineStr">
        <is>
          <t>breached.</t>
        </is>
      </c>
    </row>
    <row r="46" ht="15" customHeight="1" s="36">
      <c r="A46" s="40" t="n"/>
    </row>
    <row r="47" ht="15" customHeight="1" s="36">
      <c r="A47" s="41" t="inlineStr">
        <is>
          <t>THE THREE SCENARIOS</t>
        </is>
      </c>
    </row>
    <row r="48" ht="15" customHeight="1" s="36">
      <c r="A48" s="40" t="n"/>
    </row>
    <row r="49" ht="15" customHeight="1" s="36">
      <c r="A49" s="42" t="inlineStr">
        <is>
          <t>Best case: the favourable empirical assumptions for that option are realised.</t>
        </is>
      </c>
    </row>
    <row r="50" ht="15" customHeight="1" s="36">
      <c r="A50" s="42" t="inlineStr">
        <is>
          <t>Central case: the modal expected outcome based on available evidence.</t>
        </is>
      </c>
    </row>
    <row r="51" ht="15" customHeight="1" s="36">
      <c r="A51" s="42" t="inlineStr">
        <is>
          <t>Worst case: the unfavourable empirical assumptions are realised.</t>
        </is>
      </c>
    </row>
    <row r="52" ht="15" customHeight="1" s="36">
      <c r="A52" s="40" t="n"/>
    </row>
    <row r="53" ht="15" customHeight="1" s="36">
      <c r="A53" s="41" t="inlineStr">
        <is>
          <t>WHAT THE MODEL SHOWS</t>
        </is>
      </c>
    </row>
    <row r="54" ht="15" customHeight="1" s="36">
      <c r="A54" s="40" t="n"/>
    </row>
    <row r="55" ht="15" customHeight="1" s="36">
      <c r="A55" s="40" t="inlineStr">
        <is>
          <t>For each policy option x scenario, a 25-year present-value total of:</t>
        </is>
      </c>
    </row>
    <row r="56" ht="15" customHeight="1" s="36">
      <c r="A56" s="40" t="inlineStr">
        <is>
          <t xml:space="preserve">  - Direct fiscal effect — IHT/CGT collected from the affected cohort</t>
        </is>
      </c>
    </row>
    <row r="57" ht="15" customHeight="1" s="36">
      <c r="A57" s="40" t="inlineStr">
        <is>
          <t xml:space="preserve">  - Indirect fiscal effect — corporation tax, employment-related tax, VAT, and</t>
        </is>
      </c>
    </row>
    <row r="58" ht="15" customHeight="1" s="36">
      <c r="A58" s="40" t="inlineStr">
        <is>
          <t xml:space="preserve">    eventual CGT/IHT from the companies the cohort builds and operates</t>
        </is>
      </c>
    </row>
    <row r="59" ht="15" customHeight="1" s="36">
      <c r="A59" s="40" t="inlineStr">
        <is>
          <t xml:space="preserve">  - Total fiscal position</t>
        </is>
      </c>
    </row>
    <row r="60" ht="15" customHeight="1" s="36">
      <c r="A60" s="40" t="n"/>
    </row>
    <row r="61" ht="15" customHeight="1" s="36">
      <c r="A61" s="40" t="inlineStr">
        <is>
          <t>Discount rate is shown in Assumptions and applies to all future-year cashflows.</t>
        </is>
      </c>
    </row>
    <row r="62" ht="15" customHeight="1" s="36">
      <c r="A62" s="40" t="n"/>
    </row>
    <row r="63" ht="15" customHeight="1" s="36">
      <c r="A63" s="41" t="inlineStr">
        <is>
          <t>WHAT TO LOOK FOR</t>
        </is>
      </c>
    </row>
    <row r="64" ht="15" customHeight="1" s="36">
      <c r="A64" s="40" t="n"/>
    </row>
    <row r="65" ht="15" customHeight="1" s="36">
      <c r="A65" s="40" t="inlineStr">
        <is>
          <t>1. The relative magnitude of direct vs indirect effects. For the tech-founder cohort</t>
        </is>
      </c>
    </row>
    <row r="66" ht="15" customHeight="1" s="36">
      <c r="A66" s="40" t="inlineStr">
        <is>
          <t xml:space="preserve">   specifically, the indirect effect is much larger than the direct, because the</t>
        </is>
      </c>
    </row>
    <row r="67" ht="15" customHeight="1" s="36">
      <c r="A67" s="40" t="inlineStr">
        <is>
          <t xml:space="preserve">   companies these founders build generate decades of corporation tax, employment</t>
        </is>
      </c>
    </row>
    <row r="68" ht="15" customHeight="1" s="36">
      <c r="A68" s="40" t="inlineStr">
        <is>
          <t xml:space="preserve">   tax, and VAT.</t>
        </is>
      </c>
    </row>
    <row r="69" ht="15" customHeight="1" s="36">
      <c r="A69" s="40" t="n"/>
    </row>
    <row r="70" ht="15" customHeight="1" s="36">
      <c r="A70" s="40" t="inlineStr">
        <is>
          <t>2. The asymmetry between options' best cases and worst cases. Each option has a</t>
        </is>
      </c>
    </row>
    <row r="71" ht="15" customHeight="1" s="36">
      <c r="A71" s="40" t="inlineStr">
        <is>
          <t xml:space="preserve">   defensible best case and a defensible worst case. The model shows which</t>
        </is>
      </c>
    </row>
    <row r="72" ht="15" customHeight="1" s="36">
      <c r="A72" s="40" t="inlineStr">
        <is>
          <t xml:space="preserve">   assumptions move the answer between them.</t>
        </is>
      </c>
    </row>
    <row r="73" ht="15" customHeight="1" s="36">
      <c r="A73" s="40" t="n"/>
    </row>
    <row r="74" ht="15" customHeight="1" s="36">
      <c r="A74" s="40" t="inlineStr">
        <is>
          <t>3. The behavioural elasticity is the most consequential single input. Try doubling</t>
        </is>
      </c>
    </row>
    <row r="75" ht="15" customHeight="1" s="36">
      <c r="A75" s="40" t="inlineStr">
        <is>
          <t xml:space="preserve">   it or halving it on the Assumptions tab and watch what happens to the Summary.</t>
        </is>
      </c>
    </row>
    <row r="76" ht="15" customHeight="1" s="36">
      <c r="A76" s="40" t="n"/>
    </row>
    <row r="77" ht="15" customHeight="1" s="36">
      <c r="A77" s="41" t="inlineStr">
        <is>
          <t>AUTHOR &amp; CAVEATS</t>
        </is>
      </c>
    </row>
    <row r="78" ht="15" customHeight="1" s="36">
      <c r="A78" s="40" t="n"/>
    </row>
    <row r="79" ht="15" customHeight="1" s="36">
      <c r="A79" s="40" t="inlineStr">
        <is>
          <t>Doug Scott, founder and ex-CEO of Redbrain.com. The author owns shares in unlisted</t>
        </is>
      </c>
    </row>
    <row r="80" ht="15" customHeight="1" s="36">
      <c r="A80" s="40" t="inlineStr">
        <is>
          <t>UK companies and would be affected by some of the directions modelled here. The model</t>
        </is>
      </c>
    </row>
    <row r="81" ht="15" customHeight="1" s="36">
      <c r="A81" s="40" t="inlineStr">
        <is>
          <t>was built with AI tools as builders. The numbers are the author's estimates; readers</t>
        </is>
      </c>
    </row>
    <row r="82" ht="15" customHeight="1" s="36">
      <c r="A82" s="40" t="inlineStr">
        <is>
          <t>are encouraged to substitute their own assumptions and see what the model produces.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F5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35" min="1" max="1"/>
    <col width="50" customWidth="1" style="35" min="2" max="2"/>
    <col width="14" customWidth="1" style="35" min="3" max="5"/>
    <col width="60" customWidth="1" style="35" min="6" max="6"/>
  </cols>
  <sheetData>
    <row r="1" ht="17.35" customHeight="1" s="36">
      <c r="A1" s="43" t="inlineStr">
        <is>
          <t>ASSUMPTIONS — every blue number is editable</t>
        </is>
      </c>
    </row>
    <row r="2" ht="15" customHeight="1" s="36">
      <c r="A2" s="39" t="inlineStr">
        <is>
          <t>All currency in £ millions unless otherwise stated. Yellow background = highest-sensitivity inputs.</t>
        </is>
      </c>
    </row>
    <row r="4" ht="15" customHeight="1" s="36">
      <c r="B4" s="44" t="inlineStr">
        <is>
          <t>1.  THE COHORT</t>
        </is>
      </c>
      <c r="C4" s="45" t="n"/>
      <c r="D4" s="45" t="n"/>
      <c r="E4" s="45" t="n"/>
      <c r="F4" s="45" t="n"/>
    </row>
    <row r="5" ht="15" customHeight="1" s="36">
      <c r="B5" s="46" t="inlineStr">
        <is>
          <t>Parameter</t>
        </is>
      </c>
      <c r="C5" s="47" t="inlineStr">
        <is>
          <t>Best</t>
        </is>
      </c>
      <c r="D5" s="47" t="inlineStr">
        <is>
          <t>Central</t>
        </is>
      </c>
      <c r="E5" s="47" t="inlineStr">
        <is>
          <t>Worst</t>
        </is>
      </c>
      <c r="F5" s="46" t="inlineStr">
        <is>
          <t>Notes</t>
        </is>
      </c>
    </row>
    <row r="6" ht="22.35" customHeight="1" s="36">
      <c r="B6" s="48" t="inlineStr">
        <is>
          <t>New tech founders entering IHT exposure per year</t>
        </is>
      </c>
      <c r="C6" s="49" t="n">
        <v>25</v>
      </c>
      <c r="D6" s="49" t="n">
        <v>50</v>
      </c>
      <c r="E6" s="49" t="n">
        <v>80</v>
      </c>
      <c r="F6" s="50" t="inlineStr">
        <is>
          <t>Estimate. UK tech-founder cohort reaching personal equity above £2.5m allowance.</t>
        </is>
      </c>
    </row>
    <row r="7" ht="15" customHeight="1" s="36">
      <c r="B7" s="48" t="inlineStr">
        <is>
          <t>Annual cohort growth rate</t>
        </is>
      </c>
      <c r="C7" s="51" t="n">
        <v>0.04</v>
      </c>
      <c r="D7" s="51" t="n">
        <v>0.06</v>
      </c>
      <c r="E7" s="51" t="n">
        <v>0.08</v>
      </c>
      <c r="F7" s="50" t="inlineStr">
        <is>
          <t>Estimate. Reflects expected growth of UK tech ecosystem.</t>
        </is>
      </c>
    </row>
    <row r="8" ht="15" customHeight="1" s="36">
      <c r="B8" s="48" t="inlineStr">
        <is>
          <t>Average paper equity per founder at IHT exposure (£m)</t>
        </is>
      </c>
      <c r="C8" s="49" t="n">
        <v>8</v>
      </c>
      <c r="D8" s="49" t="n">
        <v>15</v>
      </c>
      <c r="E8" s="49" t="n">
        <v>30</v>
      </c>
      <c r="F8" s="50" t="inlineStr">
        <is>
          <t>The cohort spans Series B founders to late-stage / unicorn founders.</t>
        </is>
      </c>
    </row>
    <row r="9" ht="15" customHeight="1" s="36">
      <c r="B9" s="48" t="inlineStr">
        <is>
          <t>Average expected exit value per founder (£m)</t>
        </is>
      </c>
      <c r="C9" s="49" t="n">
        <v>20</v>
      </c>
      <c r="D9" s="49" t="n">
        <v>40</v>
      </c>
      <c r="E9" s="49" t="n">
        <v>80</v>
      </c>
      <c r="F9" s="50" t="inlineStr">
        <is>
          <t>Estimate. Eventual realisation outcome.</t>
        </is>
      </c>
    </row>
    <row r="10" ht="15" customHeight="1" s="36">
      <c r="B10" s="48" t="inlineStr">
        <is>
          <t>Probability founder's company reaches exit</t>
        </is>
      </c>
      <c r="C10" s="51" t="n">
        <v>0.5</v>
      </c>
      <c r="D10" s="51" t="n">
        <v>0.4</v>
      </c>
      <c r="E10" s="51" t="n">
        <v>0.3</v>
      </c>
      <c r="F10" s="50" t="inlineStr">
        <is>
          <t>Probability the company reaches successful exit within ~10 years.</t>
        </is>
      </c>
    </row>
    <row r="12" ht="15" customHeight="1" s="36">
      <c r="B12" s="44" t="inlineStr">
        <is>
          <t>2.  BEHAVIOURAL RESPONSE</t>
        </is>
      </c>
      <c r="C12" s="45" t="n"/>
      <c r="D12" s="45" t="n"/>
      <c r="E12" s="45" t="n"/>
      <c r="F12" s="45" t="n"/>
    </row>
    <row r="13" ht="15" customHeight="1" s="36">
      <c r="B13" s="46" t="inlineStr">
        <is>
          <t>Parameter</t>
        </is>
      </c>
      <c r="C13" s="47" t="inlineStr">
        <is>
          <t>Best</t>
        </is>
      </c>
      <c r="D13" s="47" t="inlineStr">
        <is>
          <t>Central</t>
        </is>
      </c>
      <c r="E13" s="47" t="inlineStr">
        <is>
          <t>Worst</t>
        </is>
      </c>
      <c r="F13" s="46" t="inlineStr">
        <is>
          <t>Notes</t>
        </is>
      </c>
    </row>
    <row r="14" ht="15" customHeight="1" s="36">
      <c r="B14" s="48" t="inlineStr">
        <is>
          <t>Pre-death departure rate, Option A (% of cohort)</t>
        </is>
      </c>
      <c r="C14" s="52" t="n">
        <v>0.1</v>
      </c>
      <c r="D14" s="52" t="n">
        <v>0.2</v>
      </c>
      <c r="E14" s="52" t="n">
        <v>0.35</v>
      </c>
      <c r="F14" s="50" t="inlineStr">
        <is>
          <t>MOST CONSEQUENTIAL INPUT. OBR's 25% non-dom EPT figure as anchor.</t>
        </is>
      </c>
    </row>
    <row r="15" ht="22.35" customHeight="1" s="36">
      <c r="B15" s="48" t="inlineStr">
        <is>
          <t>Pre-death departure rate, Option B</t>
        </is>
      </c>
      <c r="C15" s="52" t="n">
        <v>0.03</v>
      </c>
      <c r="D15" s="52" t="n">
        <v>0.07000000000000001</v>
      </c>
      <c r="E15" s="52" t="n">
        <v>0.15</v>
      </c>
      <c r="F15" s="50" t="inlineStr">
        <is>
          <t>Lower than Option A because Option B removes most of the death-event pressure.</t>
        </is>
      </c>
    </row>
    <row r="16" ht="15" customHeight="1" s="36">
      <c r="B16" s="48" t="inlineStr">
        <is>
          <t>Pre-death departure rate, Option C</t>
        </is>
      </c>
      <c r="C16" s="52" t="n">
        <v>0.07000000000000001</v>
      </c>
      <c r="D16" s="52" t="n">
        <v>0.15</v>
      </c>
      <c r="E16" s="52" t="n">
        <v>0.3</v>
      </c>
      <c r="F16" s="50" t="inlineStr">
        <is>
          <t>Between A and B. Conditional framework reduces some pressure but not all.</t>
        </is>
      </c>
    </row>
    <row r="18" ht="15" customHeight="1" s="36">
      <c r="B18" s="44" t="inlineStr">
        <is>
          <t>3.  DIRECT FISCAL — IHT/CGT RATES &amp; TIMING</t>
        </is>
      </c>
      <c r="C18" s="45" t="n"/>
      <c r="D18" s="45" t="n"/>
      <c r="E18" s="45" t="n"/>
      <c r="F18" s="45" t="n"/>
    </row>
    <row r="19" ht="15" customHeight="1" s="36">
      <c r="B19" s="46" t="inlineStr">
        <is>
          <t>Parameter</t>
        </is>
      </c>
      <c r="C19" s="47" t="inlineStr">
        <is>
          <t>Best</t>
        </is>
      </c>
      <c r="D19" s="47" t="inlineStr">
        <is>
          <t>Central</t>
        </is>
      </c>
      <c r="E19" s="47" t="inlineStr">
        <is>
          <t>Worst</t>
        </is>
      </c>
      <c r="F19" s="46" t="inlineStr">
        <is>
          <t>Notes</t>
        </is>
      </c>
    </row>
    <row r="20" ht="22.35" customHeight="1" s="36">
      <c r="B20" s="48" t="inlineStr">
        <is>
          <t>Effective IHT rate above £2.5m allowance</t>
        </is>
      </c>
      <c r="C20" s="51" t="n">
        <v>0.15</v>
      </c>
      <c r="D20" s="51" t="n">
        <v>0.18</v>
      </c>
      <c r="E20" s="51" t="n">
        <v>0.2</v>
      </c>
      <c r="F20" s="50" t="inlineStr">
        <is>
          <t>Statutory effective rate is 20%. Effective collected rate is lower after SAV negotiation.</t>
        </is>
      </c>
    </row>
    <row r="21" ht="15" customHeight="1" s="36">
      <c r="B21" s="48" t="inlineStr">
        <is>
          <t>CGT rate at heir's eventual realisation (Option B)</t>
        </is>
      </c>
      <c r="C21" s="51" t="n">
        <v>0.2</v>
      </c>
      <c r="D21" s="51" t="n">
        <v>0.24</v>
      </c>
      <c r="E21" s="51" t="n">
        <v>0.28</v>
      </c>
      <c r="F21" s="50" t="inlineStr">
        <is>
          <t>Current main CGT rate. Future rates uncertain.</t>
        </is>
      </c>
    </row>
    <row r="22" ht="15" customHeight="1" s="36">
      <c r="B22" s="48" t="inlineStr">
        <is>
          <t>SAV-adjusted value as % of headline equity</t>
        </is>
      </c>
      <c r="C22" s="51" t="n">
        <v>0.5</v>
      </c>
      <c r="D22" s="51" t="n">
        <v>0.6</v>
      </c>
      <c r="E22" s="51" t="n">
        <v>0.7</v>
      </c>
      <c r="F22" s="50" t="inlineStr">
        <is>
          <t>Headline paper equity reduced for minority discount, lack of marketability.</t>
        </is>
      </c>
    </row>
    <row r="23" ht="15" customHeight="1" s="36">
      <c r="B23" s="48" t="inlineStr">
        <is>
          <t>Average years from cohort-entry to founder's death (Option A timing)</t>
        </is>
      </c>
      <c r="C23" s="49" t="n">
        <v>25</v>
      </c>
      <c r="D23" s="49" t="n">
        <v>20</v>
      </c>
      <c r="E23" s="49" t="n">
        <v>15</v>
      </c>
      <c r="F23" s="50" t="inlineStr">
        <is>
          <t>If founders enter IHT exposure in their 50s, average years to death is ~20-25.</t>
        </is>
      </c>
    </row>
    <row r="24" ht="15" customHeight="1" s="36">
      <c r="B24" s="48" t="inlineStr">
        <is>
          <t>Average years from cohort-entry to heir's exit (Option B timing)</t>
        </is>
      </c>
      <c r="C24" s="49" t="n">
        <v>8</v>
      </c>
      <c r="D24" s="49" t="n">
        <v>12</v>
      </c>
      <c r="E24" s="49" t="n">
        <v>18</v>
      </c>
      <c r="F24" s="50" t="inlineStr">
        <is>
          <t>Heir realises CGT at exit.</t>
        </is>
      </c>
    </row>
    <row r="26" ht="15" customHeight="1" s="36">
      <c r="B26" s="44" t="inlineStr">
        <is>
          <t>4.  INDIRECT FISCAL — COMPANY TAX BASE</t>
        </is>
      </c>
      <c r="C26" s="45" t="n"/>
      <c r="D26" s="45" t="n"/>
      <c r="E26" s="45" t="n"/>
      <c r="F26" s="45" t="n"/>
    </row>
    <row r="27" ht="15" customHeight="1" s="36">
      <c r="B27" s="46" t="inlineStr">
        <is>
          <t>Parameter</t>
        </is>
      </c>
      <c r="C27" s="47" t="inlineStr">
        <is>
          <t>Best</t>
        </is>
      </c>
      <c r="D27" s="47" t="inlineStr">
        <is>
          <t>Central</t>
        </is>
      </c>
      <c r="E27" s="47" t="inlineStr">
        <is>
          <t>Worst</t>
        </is>
      </c>
      <c r="F27" s="46" t="inlineStr">
        <is>
          <t>Notes</t>
        </is>
      </c>
    </row>
    <row r="28" ht="22.35" customHeight="1" s="36">
      <c r="B28" s="48" t="inlineStr">
        <is>
          <t>Average company revenue at cohort entry (£m)</t>
        </is>
      </c>
      <c r="C28" s="49" t="n">
        <v>15</v>
      </c>
      <c r="D28" s="49" t="n">
        <v>30</v>
      </c>
      <c r="E28" s="49" t="n">
        <v>60</v>
      </c>
      <c r="F28" s="50" t="inlineStr">
        <is>
          <t>Tech companies whose founders reach IHT exposure typically have £15-60m revenue.</t>
        </is>
      </c>
    </row>
    <row r="29" ht="15" customHeight="1" s="36">
      <c r="B29" s="48" t="inlineStr">
        <is>
          <t>Average company revenue growth rate (annual)</t>
        </is>
      </c>
      <c r="C29" s="51" t="n">
        <v>0.2</v>
      </c>
      <c r="D29" s="51" t="n">
        <v>0.3</v>
      </c>
      <c r="E29" s="51" t="n">
        <v>0.4</v>
      </c>
      <c r="F29" s="50" t="inlineStr">
        <is>
          <t>Tech-company growth profile.</t>
        </is>
      </c>
    </row>
    <row r="30" ht="15" customHeight="1" s="36">
      <c r="B30" s="48" t="inlineStr">
        <is>
          <t>Years of UK operating life (steady state)</t>
        </is>
      </c>
      <c r="C30" s="49" t="n">
        <v>20</v>
      </c>
      <c r="D30" s="49" t="n">
        <v>15</v>
      </c>
      <c r="E30" s="49" t="n">
        <v>10</v>
      </c>
      <c r="F30" s="50" t="inlineStr">
        <is>
          <t>How long the company operates as a UK business.</t>
        </is>
      </c>
    </row>
    <row r="31" ht="15" customHeight="1" s="36">
      <c r="B31" s="48" t="inlineStr">
        <is>
          <t>Corporation tax rate</t>
        </is>
      </c>
      <c r="C31" s="51" t="n">
        <v>0.25</v>
      </c>
      <c r="D31" s="51" t="n">
        <v>0.25</v>
      </c>
      <c r="E31" s="51" t="n">
        <v>0.25</v>
      </c>
      <c r="F31" s="50" t="inlineStr">
        <is>
          <t>Current main UK corporation tax rate.</t>
        </is>
      </c>
    </row>
    <row r="32" ht="15" customHeight="1" s="36">
      <c r="B32" s="48" t="inlineStr">
        <is>
          <t>Operating margin (taxable profit as % of revenue)</t>
        </is>
      </c>
      <c r="C32" s="51" t="n">
        <v>0.2</v>
      </c>
      <c r="D32" s="51" t="n">
        <v>0.15</v>
      </c>
      <c r="E32" s="51" t="n">
        <v>0.1</v>
      </c>
      <c r="F32" s="50" t="inlineStr">
        <is>
          <t>Tech company operating profit as % of revenue.</t>
        </is>
      </c>
    </row>
    <row r="33" ht="15" customHeight="1" s="36">
      <c r="B33" s="48" t="inlineStr">
        <is>
          <t>Employment-related tax (PAYE + NI) per £1m revenue (£k)</t>
        </is>
      </c>
      <c r="C33" s="49" t="n">
        <v>250</v>
      </c>
      <c r="D33" s="49" t="n">
        <v>200</v>
      </c>
      <c r="E33" s="49" t="n">
        <v>150</v>
      </c>
      <c r="F33" s="50" t="inlineStr">
        <is>
          <t>PAYE + employee + employer NICs combined.</t>
        </is>
      </c>
    </row>
    <row r="34" ht="15" customHeight="1" s="36">
      <c r="B34" s="48" t="inlineStr">
        <is>
          <t>VAT generated per £1m UK revenue (£k)</t>
        </is>
      </c>
      <c r="C34" s="49" t="n">
        <v>50</v>
      </c>
      <c r="D34" s="49" t="n">
        <v>40</v>
      </c>
      <c r="E34" s="49" t="n">
        <v>30</v>
      </c>
      <c r="F34" s="50" t="inlineStr">
        <is>
          <t>Estimate of net VAT contribution.</t>
        </is>
      </c>
    </row>
    <row r="36" ht="15" customHeight="1" s="36">
      <c r="B36" s="44" t="inlineStr">
        <is>
          <t>5.  INDIRECT FISCAL — RELOCATION EFFECTS</t>
        </is>
      </c>
      <c r="C36" s="45" t="n"/>
      <c r="D36" s="45" t="n"/>
      <c r="E36" s="45" t="n"/>
      <c r="F36" s="45" t="n"/>
    </row>
    <row r="37" ht="15" customHeight="1" s="36">
      <c r="B37" s="46" t="inlineStr">
        <is>
          <t>Parameter</t>
        </is>
      </c>
      <c r="C37" s="47" t="inlineStr">
        <is>
          <t>Best</t>
        </is>
      </c>
      <c r="D37" s="47" t="inlineStr">
        <is>
          <t>Central</t>
        </is>
      </c>
      <c r="E37" s="47" t="inlineStr">
        <is>
          <t>Worst</t>
        </is>
      </c>
      <c r="F37" s="46" t="inlineStr">
        <is>
          <t>Notes</t>
        </is>
      </c>
    </row>
    <row r="38" ht="15" customHeight="1" s="36">
      <c r="B38" s="48" t="inlineStr">
        <is>
          <t>% of company tax base lost when founder relocates</t>
        </is>
      </c>
      <c r="C38" s="52" t="n">
        <v>0.2</v>
      </c>
      <c r="D38" s="52" t="n">
        <v>0.4</v>
      </c>
      <c r="E38" s="52" t="n">
        <v>0.6</v>
      </c>
      <c r="F38" s="50" t="inlineStr">
        <is>
          <t>Fraction of company tax base that follows the founder when the founder leaves.</t>
        </is>
      </c>
    </row>
    <row r="39" ht="15" customHeight="1" s="36">
      <c r="B39" s="48" t="inlineStr">
        <is>
          <t>% of company tax base lost in next 5 years (gradual relocation)</t>
        </is>
      </c>
      <c r="C39" s="51" t="n">
        <v>0.1</v>
      </c>
      <c r="D39" s="51" t="n">
        <v>0.25</v>
      </c>
      <c r="E39" s="51" t="n">
        <v>0.45</v>
      </c>
      <c r="F39" s="50" t="inlineStr">
        <is>
          <t>Gradual erosion of tax base over the following 5 years.</t>
        </is>
      </c>
    </row>
    <row r="41" ht="15" customHeight="1" s="36">
      <c r="B41" s="44" t="inlineStr">
        <is>
          <t>6.  NEXT-COMPANY EFFECT (the multiplier)</t>
        </is>
      </c>
      <c r="C41" s="45" t="n"/>
      <c r="D41" s="45" t="n"/>
      <c r="E41" s="45" t="n"/>
      <c r="F41" s="45" t="n"/>
    </row>
    <row r="42" ht="15" customHeight="1" s="36">
      <c r="B42" s="46" t="inlineStr">
        <is>
          <t>Parameter</t>
        </is>
      </c>
      <c r="C42" s="47" t="inlineStr">
        <is>
          <t>Best</t>
        </is>
      </c>
      <c r="D42" s="47" t="inlineStr">
        <is>
          <t>Central</t>
        </is>
      </c>
      <c r="E42" s="47" t="inlineStr">
        <is>
          <t>Worst</t>
        </is>
      </c>
      <c r="F42" s="46" t="inlineStr">
        <is>
          <t>Notes</t>
        </is>
      </c>
    </row>
    <row r="43" ht="15" customHeight="1" s="36">
      <c r="B43" s="48" t="inlineStr">
        <is>
          <t>Probability successful exited founder builds a 2nd company</t>
        </is>
      </c>
      <c r="C43" s="51" t="n">
        <v>0.4</v>
      </c>
      <c r="D43" s="51" t="n">
        <v>0.5</v>
      </c>
      <c r="E43" s="51" t="n">
        <v>0.6</v>
      </c>
      <c r="F43" s="50" t="inlineStr">
        <is>
          <t>Estimate based on UK tech founder repeat-rate data.</t>
        </is>
      </c>
    </row>
    <row r="44" ht="15" customHeight="1" s="36">
      <c r="B44" s="48" t="inlineStr">
        <is>
          <t>Time from first exit to 2nd company foundation (years)</t>
        </is>
      </c>
      <c r="C44" s="49" t="n">
        <v>3</v>
      </c>
      <c r="D44" s="49" t="n">
        <v>5</v>
      </c>
      <c r="E44" s="49" t="n">
        <v>7</v>
      </c>
      <c r="F44" s="50" t="inlineStr">
        <is>
          <t>Time from successful first exit to founding the second company.</t>
        </is>
      </c>
    </row>
    <row r="45" ht="15" customHeight="1" s="36">
      <c r="B45" s="48" t="inlineStr">
        <is>
          <t>Expected revenue of 2nd company at maturity (£m)</t>
        </is>
      </c>
      <c r="C45" s="49" t="n">
        <v>40</v>
      </c>
      <c r="D45" s="49" t="n">
        <v>80</v>
      </c>
      <c r="E45" s="49" t="n">
        <v>150</v>
      </c>
      <c r="F45" s="50" t="inlineStr">
        <is>
          <t>Repeat founders' second companies typically reach larger scale.</t>
        </is>
      </c>
    </row>
    <row r="46" ht="15" customHeight="1" s="36">
      <c r="B46" s="48" t="inlineStr">
        <is>
          <t>Probability 2nd company is built in UK if founder is UK-resident</t>
        </is>
      </c>
      <c r="C46" s="51" t="n">
        <v>0.85</v>
      </c>
      <c r="D46" s="51" t="n">
        <v>0.75</v>
      </c>
      <c r="E46" s="51" t="n">
        <v>0.6</v>
      </c>
      <c r="F46" s="50" t="inlineStr">
        <is>
          <t>Founders typically build where they live.</t>
        </is>
      </c>
    </row>
    <row r="47" ht="22.35" customHeight="1" s="36">
      <c r="B47" s="48" t="inlineStr">
        <is>
          <t>Probability 2nd company is built in UK if founder relocated</t>
        </is>
      </c>
      <c r="C47" s="51" t="n">
        <v>0.2</v>
      </c>
      <c r="D47" s="51" t="n">
        <v>0.1</v>
      </c>
      <c r="E47" s="51" t="n">
        <v>0.05</v>
      </c>
      <c r="F47" s="50" t="inlineStr">
        <is>
          <t>Once founder is abroad, second company strongly prefers founder's new location.</t>
        </is>
      </c>
    </row>
    <row r="49" ht="15" customHeight="1" s="36">
      <c r="B49" s="44" t="inlineStr">
        <is>
          <t>7.  NETWORK &amp; CAPITAL EFFECTS (multipliers)</t>
        </is>
      </c>
      <c r="C49" s="45" t="n"/>
      <c r="D49" s="45" t="n"/>
      <c r="E49" s="45" t="n"/>
      <c r="F49" s="45" t="n"/>
    </row>
    <row r="50" ht="15" customHeight="1" s="36">
      <c r="B50" s="46" t="inlineStr">
        <is>
          <t>Parameter</t>
        </is>
      </c>
      <c r="C50" s="47" t="inlineStr">
        <is>
          <t>Best</t>
        </is>
      </c>
      <c r="D50" s="47" t="inlineStr">
        <is>
          <t>Central</t>
        </is>
      </c>
      <c r="E50" s="47" t="inlineStr">
        <is>
          <t>Worst</t>
        </is>
      </c>
      <c r="F50" s="46" t="inlineStr">
        <is>
          <t>Notes</t>
        </is>
      </c>
    </row>
    <row r="51" ht="15" customHeight="1" s="36">
      <c r="B51" s="48" t="inlineStr">
        <is>
          <t>Network multiplier on next-company effect</t>
        </is>
      </c>
      <c r="C51" s="53" t="n">
        <v>1.5</v>
      </c>
      <c r="D51" s="53" t="n">
        <v>1.3</v>
      </c>
      <c r="E51" s="53" t="n">
        <v>1.1</v>
      </c>
      <c r="F51" s="50" t="inlineStr">
        <is>
          <t>Cluster externalities. Most contested input.</t>
        </is>
      </c>
    </row>
    <row r="52" ht="15" customHeight="1" s="36">
      <c r="B52" s="48" t="inlineStr">
        <is>
          <t>VC follow-on capital effect (% reduction per departed founder)</t>
        </is>
      </c>
      <c r="C52" s="54" t="n">
        <v>0.005</v>
      </c>
      <c r="D52" s="54" t="n">
        <v>0.01</v>
      </c>
      <c r="E52" s="54" t="n">
        <v>0.02</v>
      </c>
      <c r="F52" s="50" t="inlineStr">
        <is>
          <t>Each departed founder reduces UK VC capital formation marginally.</t>
        </is>
      </c>
    </row>
    <row r="54" ht="15" customHeight="1" s="36">
      <c r="B54" s="44" t="inlineStr">
        <is>
          <t>8.  TIME HORIZON &amp; DISCOUNTING</t>
        </is>
      </c>
      <c r="C54" s="45" t="n"/>
      <c r="D54" s="45" t="n"/>
      <c r="E54" s="45" t="n"/>
      <c r="F54" s="45" t="n"/>
    </row>
    <row r="55" ht="15" customHeight="1" s="36">
      <c r="B55" s="46" t="inlineStr">
        <is>
          <t>Parameter</t>
        </is>
      </c>
      <c r="C55" s="47" t="inlineStr">
        <is>
          <t>Best</t>
        </is>
      </c>
      <c r="D55" s="47" t="inlineStr">
        <is>
          <t>Central</t>
        </is>
      </c>
      <c r="E55" s="47" t="inlineStr">
        <is>
          <t>Worst</t>
        </is>
      </c>
      <c r="F55" s="46" t="inlineStr">
        <is>
          <t>Notes</t>
        </is>
      </c>
    </row>
    <row r="56" ht="15" customHeight="1" s="36">
      <c r="B56" s="48" t="inlineStr">
        <is>
          <t>Modelling horizon (years)</t>
        </is>
      </c>
      <c r="C56" s="49" t="n">
        <v>25</v>
      </c>
      <c r="D56" s="49" t="n">
        <v>25</v>
      </c>
      <c r="E56" s="49" t="n">
        <v>25</v>
      </c>
      <c r="F56" s="50" t="inlineStr">
        <is>
          <t>Years 15-25 are highly uncertain.</t>
        </is>
      </c>
    </row>
    <row r="57" ht="15" customHeight="1" s="36">
      <c r="B57" s="48" t="inlineStr">
        <is>
          <t>Discount rate (real)</t>
        </is>
      </c>
      <c r="C57" s="51" t="n">
        <v>0.025</v>
      </c>
      <c r="D57" s="51" t="n">
        <v>0.035</v>
      </c>
      <c r="E57" s="51" t="n">
        <v>0.045</v>
      </c>
      <c r="F57" s="50" t="inlineStr">
        <is>
          <t>HMT Green Book social discount rate is 3.5% real for first 30 years.</t>
        </is>
      </c>
    </row>
  </sheetData>
  <mergeCells count="2">
    <mergeCell ref="A2:F2"/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Z3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50" customWidth="1" style="35" min="1" max="1"/>
    <col width="9" customWidth="1" style="35" min="2" max="26"/>
  </cols>
  <sheetData>
    <row r="1" ht="17.35" customHeight="1" s="36">
      <c r="A1" s="43" t="inlineStr">
        <is>
          <t>COHORT FLOW — number of founders entering IHT exposure each year, with departures by option</t>
        </is>
      </c>
    </row>
    <row r="2" ht="15" customHeight="1" s="36">
      <c r="A2" s="39" t="inlineStr">
        <is>
          <t>Years 1-25 from policy effective date (April 2026 = year 1)</t>
        </is>
      </c>
    </row>
    <row r="4" ht="15" customHeight="1" s="36">
      <c r="A4" s="46" t="inlineStr">
        <is>
          <t>Item</t>
        </is>
      </c>
      <c r="B4" s="47" t="inlineStr">
        <is>
          <t>Y1</t>
        </is>
      </c>
      <c r="C4" s="47" t="inlineStr">
        <is>
          <t>Y2</t>
        </is>
      </c>
      <c r="D4" s="47" t="inlineStr">
        <is>
          <t>Y3</t>
        </is>
      </c>
      <c r="E4" s="47" t="inlineStr">
        <is>
          <t>Y4</t>
        </is>
      </c>
      <c r="F4" s="47" t="inlineStr">
        <is>
          <t>Y5</t>
        </is>
      </c>
      <c r="G4" s="47" t="inlineStr">
        <is>
          <t>Y6</t>
        </is>
      </c>
      <c r="H4" s="47" t="inlineStr">
        <is>
          <t>Y7</t>
        </is>
      </c>
      <c r="I4" s="47" t="inlineStr">
        <is>
          <t>Y8</t>
        </is>
      </c>
      <c r="J4" s="47" t="inlineStr">
        <is>
          <t>Y9</t>
        </is>
      </c>
      <c r="K4" s="47" t="inlineStr">
        <is>
          <t>Y10</t>
        </is>
      </c>
      <c r="L4" s="47" t="inlineStr">
        <is>
          <t>Y11</t>
        </is>
      </c>
      <c r="M4" s="47" t="inlineStr">
        <is>
          <t>Y12</t>
        </is>
      </c>
      <c r="N4" s="47" t="inlineStr">
        <is>
          <t>Y13</t>
        </is>
      </c>
      <c r="O4" s="47" t="inlineStr">
        <is>
          <t>Y14</t>
        </is>
      </c>
      <c r="P4" s="47" t="inlineStr">
        <is>
          <t>Y15</t>
        </is>
      </c>
      <c r="Q4" s="47" t="inlineStr">
        <is>
          <t>Y16</t>
        </is>
      </c>
      <c r="R4" s="47" t="inlineStr">
        <is>
          <t>Y17</t>
        </is>
      </c>
      <c r="S4" s="47" t="inlineStr">
        <is>
          <t>Y18</t>
        </is>
      </c>
      <c r="T4" s="47" t="inlineStr">
        <is>
          <t>Y19</t>
        </is>
      </c>
      <c r="U4" s="47" t="inlineStr">
        <is>
          <t>Y20</t>
        </is>
      </c>
      <c r="V4" s="47" t="inlineStr">
        <is>
          <t>Y21</t>
        </is>
      </c>
      <c r="W4" s="47" t="inlineStr">
        <is>
          <t>Y22</t>
        </is>
      </c>
      <c r="X4" s="47" t="inlineStr">
        <is>
          <t>Y23</t>
        </is>
      </c>
      <c r="Y4" s="47" t="inlineStr">
        <is>
          <t>Y24</t>
        </is>
      </c>
      <c r="Z4" s="47" t="inlineStr">
        <is>
          <t>Y25</t>
        </is>
      </c>
    </row>
    <row r="6" ht="15" customHeight="1" s="36">
      <c r="A6" s="55" t="inlineStr">
        <is>
          <t>BEST CASE</t>
        </is>
      </c>
    </row>
    <row r="7" ht="15" customHeight="1" s="36">
      <c r="A7" s="48" t="inlineStr">
        <is>
          <t>New tech founders entering IHT exposure per year</t>
        </is>
      </c>
      <c r="B7" s="56">
        <f>Assumptions!C6</f>
        <v/>
      </c>
      <c r="C7" s="57">
        <f>B7*(1+Assumptions!C7)</f>
        <v/>
      </c>
      <c r="D7" s="57">
        <f>C7*(1+Assumptions!C7)</f>
        <v/>
      </c>
      <c r="E7" s="57">
        <f>D7*(1+Assumptions!C7)</f>
        <v/>
      </c>
      <c r="F7" s="57">
        <f>E7*(1+Assumptions!C7)</f>
        <v/>
      </c>
      <c r="G7" s="57">
        <f>F7*(1+Assumptions!C7)</f>
        <v/>
      </c>
      <c r="H7" s="57">
        <f>G7*(1+Assumptions!C7)</f>
        <v/>
      </c>
      <c r="I7" s="57">
        <f>H7*(1+Assumptions!C7)</f>
        <v/>
      </c>
      <c r="J7" s="57">
        <f>I7*(1+Assumptions!C7)</f>
        <v/>
      </c>
      <c r="K7" s="57">
        <f>J7*(1+Assumptions!C7)</f>
        <v/>
      </c>
      <c r="L7" s="57">
        <f>K7*(1+Assumptions!C7)</f>
        <v/>
      </c>
      <c r="M7" s="57">
        <f>L7*(1+Assumptions!C7)</f>
        <v/>
      </c>
      <c r="N7" s="57">
        <f>M7*(1+Assumptions!C7)</f>
        <v/>
      </c>
      <c r="O7" s="57">
        <f>N7*(1+Assumptions!C7)</f>
        <v/>
      </c>
      <c r="P7" s="57">
        <f>O7*(1+Assumptions!C7)</f>
        <v/>
      </c>
      <c r="Q7" s="57">
        <f>P7*(1+Assumptions!C7)</f>
        <v/>
      </c>
      <c r="R7" s="57">
        <f>Q7*(1+Assumptions!C7)</f>
        <v/>
      </c>
      <c r="S7" s="57">
        <f>R7*(1+Assumptions!C7)</f>
        <v/>
      </c>
      <c r="T7" s="57">
        <f>S7*(1+Assumptions!C7)</f>
        <v/>
      </c>
      <c r="U7" s="57">
        <f>T7*(1+Assumptions!C7)</f>
        <v/>
      </c>
      <c r="V7" s="57">
        <f>U7*(1+Assumptions!C7)</f>
        <v/>
      </c>
      <c r="W7" s="57">
        <f>V7*(1+Assumptions!C7)</f>
        <v/>
      </c>
      <c r="X7" s="57">
        <f>W7*(1+Assumptions!C7)</f>
        <v/>
      </c>
      <c r="Y7" s="57">
        <f>X7*(1+Assumptions!C7)</f>
        <v/>
      </c>
      <c r="Z7" s="57">
        <f>Y7*(1+Assumptions!C7)</f>
        <v/>
      </c>
    </row>
    <row r="8" ht="15" customHeight="1" s="36">
      <c r="A8" s="48" t="inlineStr">
        <is>
          <t>Departures under Option A (HOLD)</t>
        </is>
      </c>
      <c r="B8" s="57">
        <f>B7*Assumptions!C14</f>
        <v/>
      </c>
      <c r="C8" s="57">
        <f>C7*Assumptions!C14</f>
        <v/>
      </c>
      <c r="D8" s="57">
        <f>D7*Assumptions!C14</f>
        <v/>
      </c>
      <c r="E8" s="57">
        <f>E7*Assumptions!C14</f>
        <v/>
      </c>
      <c r="F8" s="57">
        <f>F7*Assumptions!C14</f>
        <v/>
      </c>
      <c r="G8" s="57">
        <f>G7*Assumptions!C14</f>
        <v/>
      </c>
      <c r="H8" s="57">
        <f>H7*Assumptions!C14</f>
        <v/>
      </c>
      <c r="I8" s="57">
        <f>I7*Assumptions!C14</f>
        <v/>
      </c>
      <c r="J8" s="57">
        <f>J7*Assumptions!C14</f>
        <v/>
      </c>
      <c r="K8" s="57">
        <f>K7*Assumptions!C14</f>
        <v/>
      </c>
      <c r="L8" s="57">
        <f>L7*Assumptions!C14</f>
        <v/>
      </c>
      <c r="M8" s="57">
        <f>M7*Assumptions!C14</f>
        <v/>
      </c>
      <c r="N8" s="57">
        <f>N7*Assumptions!C14</f>
        <v/>
      </c>
      <c r="O8" s="57">
        <f>O7*Assumptions!C14</f>
        <v/>
      </c>
      <c r="P8" s="57">
        <f>P7*Assumptions!C14</f>
        <v/>
      </c>
      <c r="Q8" s="57">
        <f>Q7*Assumptions!C14</f>
        <v/>
      </c>
      <c r="R8" s="57">
        <f>R7*Assumptions!C14</f>
        <v/>
      </c>
      <c r="S8" s="57">
        <f>S7*Assumptions!C14</f>
        <v/>
      </c>
      <c r="T8" s="57">
        <f>T7*Assumptions!C14</f>
        <v/>
      </c>
      <c r="U8" s="57">
        <f>U7*Assumptions!C14</f>
        <v/>
      </c>
      <c r="V8" s="57">
        <f>V7*Assumptions!C14</f>
        <v/>
      </c>
      <c r="W8" s="57">
        <f>W7*Assumptions!C14</f>
        <v/>
      </c>
      <c r="X8" s="57">
        <f>X7*Assumptions!C14</f>
        <v/>
      </c>
      <c r="Y8" s="57">
        <f>Y7*Assumptions!C14</f>
        <v/>
      </c>
      <c r="Z8" s="57">
        <f>Z7*Assumptions!C14</f>
        <v/>
      </c>
    </row>
    <row r="9" ht="15" customHeight="1" s="36">
      <c r="A9" s="48" t="inlineStr">
        <is>
          <t>Departures under Option B (CHANGE)</t>
        </is>
      </c>
      <c r="B9" s="57">
        <f>B7*Assumptions!C15</f>
        <v/>
      </c>
      <c r="C9" s="57">
        <f>C7*Assumptions!C15</f>
        <v/>
      </c>
      <c r="D9" s="57">
        <f>D7*Assumptions!C15</f>
        <v/>
      </c>
      <c r="E9" s="57">
        <f>E7*Assumptions!C15</f>
        <v/>
      </c>
      <c r="F9" s="57">
        <f>F7*Assumptions!C15</f>
        <v/>
      </c>
      <c r="G9" s="57">
        <f>G7*Assumptions!C15</f>
        <v/>
      </c>
      <c r="H9" s="57">
        <f>H7*Assumptions!C15</f>
        <v/>
      </c>
      <c r="I9" s="57">
        <f>I7*Assumptions!C15</f>
        <v/>
      </c>
      <c r="J9" s="57">
        <f>J7*Assumptions!C15</f>
        <v/>
      </c>
      <c r="K9" s="57">
        <f>K7*Assumptions!C15</f>
        <v/>
      </c>
      <c r="L9" s="57">
        <f>L7*Assumptions!C15</f>
        <v/>
      </c>
      <c r="M9" s="57">
        <f>M7*Assumptions!C15</f>
        <v/>
      </c>
      <c r="N9" s="57">
        <f>N7*Assumptions!C15</f>
        <v/>
      </c>
      <c r="O9" s="57">
        <f>O7*Assumptions!C15</f>
        <v/>
      </c>
      <c r="P9" s="57">
        <f>P7*Assumptions!C15</f>
        <v/>
      </c>
      <c r="Q9" s="57">
        <f>Q7*Assumptions!C15</f>
        <v/>
      </c>
      <c r="R9" s="57">
        <f>R7*Assumptions!C15</f>
        <v/>
      </c>
      <c r="S9" s="57">
        <f>S7*Assumptions!C15</f>
        <v/>
      </c>
      <c r="T9" s="57">
        <f>T7*Assumptions!C15</f>
        <v/>
      </c>
      <c r="U9" s="57">
        <f>U7*Assumptions!C15</f>
        <v/>
      </c>
      <c r="V9" s="57">
        <f>V7*Assumptions!C15</f>
        <v/>
      </c>
      <c r="W9" s="57">
        <f>W7*Assumptions!C15</f>
        <v/>
      </c>
      <c r="X9" s="57">
        <f>X7*Assumptions!C15</f>
        <v/>
      </c>
      <c r="Y9" s="57">
        <f>Y7*Assumptions!C15</f>
        <v/>
      </c>
      <c r="Z9" s="57">
        <f>Z7*Assumptions!C15</f>
        <v/>
      </c>
    </row>
    <row r="10" ht="15" customHeight="1" s="36">
      <c r="A10" s="48" t="inlineStr">
        <is>
          <t>Departures under Option C (WAIT)</t>
        </is>
      </c>
      <c r="B10" s="57">
        <f>B7*Assumptions!C16</f>
        <v/>
      </c>
      <c r="C10" s="57">
        <f>C7*Assumptions!C16</f>
        <v/>
      </c>
      <c r="D10" s="57">
        <f>D7*Assumptions!C16</f>
        <v/>
      </c>
      <c r="E10" s="57">
        <f>E7*Assumptions!C16</f>
        <v/>
      </c>
      <c r="F10" s="57">
        <f>F7*Assumptions!C16</f>
        <v/>
      </c>
      <c r="G10" s="57">
        <f>G7*Assumptions!C16</f>
        <v/>
      </c>
      <c r="H10" s="57">
        <f>H7*Assumptions!C16</f>
        <v/>
      </c>
      <c r="I10" s="57">
        <f>I7*Assumptions!C16</f>
        <v/>
      </c>
      <c r="J10" s="57">
        <f>J7*Assumptions!C16</f>
        <v/>
      </c>
      <c r="K10" s="57">
        <f>K7*Assumptions!C16</f>
        <v/>
      </c>
      <c r="L10" s="57">
        <f>L7*Assumptions!C16</f>
        <v/>
      </c>
      <c r="M10" s="57">
        <f>M7*Assumptions!C16</f>
        <v/>
      </c>
      <c r="N10" s="57">
        <f>N7*Assumptions!C16</f>
        <v/>
      </c>
      <c r="O10" s="57">
        <f>O7*Assumptions!C16</f>
        <v/>
      </c>
      <c r="P10" s="57">
        <f>P7*Assumptions!C16</f>
        <v/>
      </c>
      <c r="Q10" s="57">
        <f>Q7*Assumptions!C16</f>
        <v/>
      </c>
      <c r="R10" s="57">
        <f>R7*Assumptions!C16</f>
        <v/>
      </c>
      <c r="S10" s="57">
        <f>S7*Assumptions!C16</f>
        <v/>
      </c>
      <c r="T10" s="57">
        <f>T7*Assumptions!C16</f>
        <v/>
      </c>
      <c r="U10" s="57">
        <f>U7*Assumptions!C16</f>
        <v/>
      </c>
      <c r="V10" s="57">
        <f>V7*Assumptions!C16</f>
        <v/>
      </c>
      <c r="W10" s="57">
        <f>W7*Assumptions!C16</f>
        <v/>
      </c>
      <c r="X10" s="57">
        <f>X7*Assumptions!C16</f>
        <v/>
      </c>
      <c r="Y10" s="57">
        <f>Y7*Assumptions!C16</f>
        <v/>
      </c>
      <c r="Z10" s="57">
        <f>Z7*Assumptions!C16</f>
        <v/>
      </c>
    </row>
    <row r="11" ht="15" customHeight="1" s="36">
      <c r="A11" s="48" t="inlineStr">
        <is>
          <t>Stayers under Option A</t>
        </is>
      </c>
      <c r="B11" s="57">
        <f>B7-B8</f>
        <v/>
      </c>
      <c r="C11" s="57">
        <f>C7-C8</f>
        <v/>
      </c>
      <c r="D11" s="57">
        <f>D7-D8</f>
        <v/>
      </c>
      <c r="E11" s="57">
        <f>E7-E8</f>
        <v/>
      </c>
      <c r="F11" s="57">
        <f>F7-F8</f>
        <v/>
      </c>
      <c r="G11" s="57">
        <f>G7-G8</f>
        <v/>
      </c>
      <c r="H11" s="57">
        <f>H7-H8</f>
        <v/>
      </c>
      <c r="I11" s="57">
        <f>I7-I8</f>
        <v/>
      </c>
      <c r="J11" s="57">
        <f>J7-J8</f>
        <v/>
      </c>
      <c r="K11" s="57">
        <f>K7-K8</f>
        <v/>
      </c>
      <c r="L11" s="57">
        <f>L7-L8</f>
        <v/>
      </c>
      <c r="M11" s="57">
        <f>M7-M8</f>
        <v/>
      </c>
      <c r="N11" s="57">
        <f>N7-N8</f>
        <v/>
      </c>
      <c r="O11" s="57">
        <f>O7-O8</f>
        <v/>
      </c>
      <c r="P11" s="57">
        <f>P7-P8</f>
        <v/>
      </c>
      <c r="Q11" s="57">
        <f>Q7-Q8</f>
        <v/>
      </c>
      <c r="R11" s="57">
        <f>R7-R8</f>
        <v/>
      </c>
      <c r="S11" s="57">
        <f>S7-S8</f>
        <v/>
      </c>
      <c r="T11" s="57">
        <f>T7-T8</f>
        <v/>
      </c>
      <c r="U11" s="57">
        <f>U7-U8</f>
        <v/>
      </c>
      <c r="V11" s="57">
        <f>V7-V8</f>
        <v/>
      </c>
      <c r="W11" s="57">
        <f>W7-W8</f>
        <v/>
      </c>
      <c r="X11" s="57">
        <f>X7-X8</f>
        <v/>
      </c>
      <c r="Y11" s="57">
        <f>Y7-Y8</f>
        <v/>
      </c>
      <c r="Z11" s="57">
        <f>Z7-Z8</f>
        <v/>
      </c>
    </row>
    <row r="12" ht="15" customHeight="1" s="36">
      <c r="A12" s="48" t="inlineStr">
        <is>
          <t>Stayers under Option B</t>
        </is>
      </c>
      <c r="B12" s="57">
        <f>B7-B9</f>
        <v/>
      </c>
      <c r="C12" s="57">
        <f>C7-C9</f>
        <v/>
      </c>
      <c r="D12" s="57">
        <f>D7-D9</f>
        <v/>
      </c>
      <c r="E12" s="57">
        <f>E7-E9</f>
        <v/>
      </c>
      <c r="F12" s="57">
        <f>F7-F9</f>
        <v/>
      </c>
      <c r="G12" s="57">
        <f>G7-G9</f>
        <v/>
      </c>
      <c r="H12" s="57">
        <f>H7-H9</f>
        <v/>
      </c>
      <c r="I12" s="57">
        <f>I7-I9</f>
        <v/>
      </c>
      <c r="J12" s="57">
        <f>J7-J9</f>
        <v/>
      </c>
      <c r="K12" s="57">
        <f>K7-K9</f>
        <v/>
      </c>
      <c r="L12" s="57">
        <f>L7-L9</f>
        <v/>
      </c>
      <c r="M12" s="57">
        <f>M7-M9</f>
        <v/>
      </c>
      <c r="N12" s="57">
        <f>N7-N9</f>
        <v/>
      </c>
      <c r="O12" s="57">
        <f>O7-O9</f>
        <v/>
      </c>
      <c r="P12" s="57">
        <f>P7-P9</f>
        <v/>
      </c>
      <c r="Q12" s="57">
        <f>Q7-Q9</f>
        <v/>
      </c>
      <c r="R12" s="57">
        <f>R7-R9</f>
        <v/>
      </c>
      <c r="S12" s="57">
        <f>S7-S9</f>
        <v/>
      </c>
      <c r="T12" s="57">
        <f>T7-T9</f>
        <v/>
      </c>
      <c r="U12" s="57">
        <f>U7-U9</f>
        <v/>
      </c>
      <c r="V12" s="57">
        <f>V7-V9</f>
        <v/>
      </c>
      <c r="W12" s="57">
        <f>W7-W9</f>
        <v/>
      </c>
      <c r="X12" s="57">
        <f>X7-X9</f>
        <v/>
      </c>
      <c r="Y12" s="57">
        <f>Y7-Y9</f>
        <v/>
      </c>
      <c r="Z12" s="57">
        <f>Z7-Z9</f>
        <v/>
      </c>
    </row>
    <row r="13" ht="15" customHeight="1" s="36">
      <c r="A13" s="48" t="inlineStr">
        <is>
          <t>Stayers under Option C</t>
        </is>
      </c>
      <c r="B13" s="57">
        <f>B7-B10</f>
        <v/>
      </c>
      <c r="C13" s="57">
        <f>C7-C10</f>
        <v/>
      </c>
      <c r="D13" s="57">
        <f>D7-D10</f>
        <v/>
      </c>
      <c r="E13" s="57">
        <f>E7-E10</f>
        <v/>
      </c>
      <c r="F13" s="57">
        <f>F7-F10</f>
        <v/>
      </c>
      <c r="G13" s="57">
        <f>G7-G10</f>
        <v/>
      </c>
      <c r="H13" s="57">
        <f>H7-H10</f>
        <v/>
      </c>
      <c r="I13" s="57">
        <f>I7-I10</f>
        <v/>
      </c>
      <c r="J13" s="57">
        <f>J7-J10</f>
        <v/>
      </c>
      <c r="K13" s="57">
        <f>K7-K10</f>
        <v/>
      </c>
      <c r="L13" s="57">
        <f>L7-L10</f>
        <v/>
      </c>
      <c r="M13" s="57">
        <f>M7-M10</f>
        <v/>
      </c>
      <c r="N13" s="57">
        <f>N7-N10</f>
        <v/>
      </c>
      <c r="O13" s="57">
        <f>O7-O10</f>
        <v/>
      </c>
      <c r="P13" s="57">
        <f>P7-P10</f>
        <v/>
      </c>
      <c r="Q13" s="57">
        <f>Q7-Q10</f>
        <v/>
      </c>
      <c r="R13" s="57">
        <f>R7-R10</f>
        <v/>
      </c>
      <c r="S13" s="57">
        <f>S7-S10</f>
        <v/>
      </c>
      <c r="T13" s="57">
        <f>T7-T10</f>
        <v/>
      </c>
      <c r="U13" s="57">
        <f>U7-U10</f>
        <v/>
      </c>
      <c r="V13" s="57">
        <f>V7-V10</f>
        <v/>
      </c>
      <c r="W13" s="57">
        <f>W7-W10</f>
        <v/>
      </c>
      <c r="X13" s="57">
        <f>X7-X10</f>
        <v/>
      </c>
      <c r="Y13" s="57">
        <f>Y7-Y10</f>
        <v/>
      </c>
      <c r="Z13" s="57">
        <f>Z7-Z10</f>
        <v/>
      </c>
    </row>
    <row r="16" ht="15" customHeight="1" s="36">
      <c r="A16" s="55" t="inlineStr">
        <is>
          <t>CENTRAL CASE</t>
        </is>
      </c>
    </row>
    <row r="17" ht="15" customHeight="1" s="36">
      <c r="A17" s="48" t="inlineStr">
        <is>
          <t>New tech founders entering IHT exposure per year</t>
        </is>
      </c>
      <c r="B17" s="56">
        <f>Assumptions!D6</f>
        <v/>
      </c>
      <c r="C17" s="57">
        <f>B17*(1+Assumptions!D7)</f>
        <v/>
      </c>
      <c r="D17" s="57">
        <f>C17*(1+Assumptions!D7)</f>
        <v/>
      </c>
      <c r="E17" s="57">
        <f>D17*(1+Assumptions!D7)</f>
        <v/>
      </c>
      <c r="F17" s="57">
        <f>E17*(1+Assumptions!D7)</f>
        <v/>
      </c>
      <c r="G17" s="57">
        <f>F17*(1+Assumptions!D7)</f>
        <v/>
      </c>
      <c r="H17" s="57">
        <f>G17*(1+Assumptions!D7)</f>
        <v/>
      </c>
      <c r="I17" s="57">
        <f>H17*(1+Assumptions!D7)</f>
        <v/>
      </c>
      <c r="J17" s="57">
        <f>I17*(1+Assumptions!D7)</f>
        <v/>
      </c>
      <c r="K17" s="57">
        <f>J17*(1+Assumptions!D7)</f>
        <v/>
      </c>
      <c r="L17" s="57">
        <f>K17*(1+Assumptions!D7)</f>
        <v/>
      </c>
      <c r="M17" s="57">
        <f>L17*(1+Assumptions!D7)</f>
        <v/>
      </c>
      <c r="N17" s="57">
        <f>M17*(1+Assumptions!D7)</f>
        <v/>
      </c>
      <c r="O17" s="57">
        <f>N17*(1+Assumptions!D7)</f>
        <v/>
      </c>
      <c r="P17" s="57">
        <f>O17*(1+Assumptions!D7)</f>
        <v/>
      </c>
      <c r="Q17" s="57">
        <f>P17*(1+Assumptions!D7)</f>
        <v/>
      </c>
      <c r="R17" s="57">
        <f>Q17*(1+Assumptions!D7)</f>
        <v/>
      </c>
      <c r="S17" s="57">
        <f>R17*(1+Assumptions!D7)</f>
        <v/>
      </c>
      <c r="T17" s="57">
        <f>S17*(1+Assumptions!D7)</f>
        <v/>
      </c>
      <c r="U17" s="57">
        <f>T17*(1+Assumptions!D7)</f>
        <v/>
      </c>
      <c r="V17" s="57">
        <f>U17*(1+Assumptions!D7)</f>
        <v/>
      </c>
      <c r="W17" s="57">
        <f>V17*(1+Assumptions!D7)</f>
        <v/>
      </c>
      <c r="X17" s="57">
        <f>W17*(1+Assumptions!D7)</f>
        <v/>
      </c>
      <c r="Y17" s="57">
        <f>X17*(1+Assumptions!D7)</f>
        <v/>
      </c>
      <c r="Z17" s="57">
        <f>Y17*(1+Assumptions!D7)</f>
        <v/>
      </c>
    </row>
    <row r="18" ht="15" customHeight="1" s="36">
      <c r="A18" s="48" t="inlineStr">
        <is>
          <t>Departures under Option A (HOLD)</t>
        </is>
      </c>
      <c r="B18" s="57">
        <f>B17*Assumptions!D14</f>
        <v/>
      </c>
      <c r="C18" s="57">
        <f>C17*Assumptions!D14</f>
        <v/>
      </c>
      <c r="D18" s="57">
        <f>D17*Assumptions!D14</f>
        <v/>
      </c>
      <c r="E18" s="57">
        <f>E17*Assumptions!D14</f>
        <v/>
      </c>
      <c r="F18" s="57">
        <f>F17*Assumptions!D14</f>
        <v/>
      </c>
      <c r="G18" s="57">
        <f>G17*Assumptions!D14</f>
        <v/>
      </c>
      <c r="H18" s="57">
        <f>H17*Assumptions!D14</f>
        <v/>
      </c>
      <c r="I18" s="57">
        <f>I17*Assumptions!D14</f>
        <v/>
      </c>
      <c r="J18" s="57">
        <f>J17*Assumptions!D14</f>
        <v/>
      </c>
      <c r="K18" s="57">
        <f>K17*Assumptions!D14</f>
        <v/>
      </c>
      <c r="L18" s="57">
        <f>L17*Assumptions!D14</f>
        <v/>
      </c>
      <c r="M18" s="57">
        <f>M17*Assumptions!D14</f>
        <v/>
      </c>
      <c r="N18" s="57">
        <f>N17*Assumptions!D14</f>
        <v/>
      </c>
      <c r="O18" s="57">
        <f>O17*Assumptions!D14</f>
        <v/>
      </c>
      <c r="P18" s="57">
        <f>P17*Assumptions!D14</f>
        <v/>
      </c>
      <c r="Q18" s="57">
        <f>Q17*Assumptions!D14</f>
        <v/>
      </c>
      <c r="R18" s="57">
        <f>R17*Assumptions!D14</f>
        <v/>
      </c>
      <c r="S18" s="57">
        <f>S17*Assumptions!D14</f>
        <v/>
      </c>
      <c r="T18" s="57">
        <f>T17*Assumptions!D14</f>
        <v/>
      </c>
      <c r="U18" s="57">
        <f>U17*Assumptions!D14</f>
        <v/>
      </c>
      <c r="V18" s="57">
        <f>V17*Assumptions!D14</f>
        <v/>
      </c>
      <c r="W18" s="57">
        <f>W17*Assumptions!D14</f>
        <v/>
      </c>
      <c r="X18" s="57">
        <f>X17*Assumptions!D14</f>
        <v/>
      </c>
      <c r="Y18" s="57">
        <f>Y17*Assumptions!D14</f>
        <v/>
      </c>
      <c r="Z18" s="57">
        <f>Z17*Assumptions!D14</f>
        <v/>
      </c>
    </row>
    <row r="19" ht="15" customHeight="1" s="36">
      <c r="A19" s="48" t="inlineStr">
        <is>
          <t>Departures under Option B (CHANGE)</t>
        </is>
      </c>
      <c r="B19" s="57">
        <f>B17*Assumptions!D15</f>
        <v/>
      </c>
      <c r="C19" s="57">
        <f>C17*Assumptions!D15</f>
        <v/>
      </c>
      <c r="D19" s="57">
        <f>D17*Assumptions!D15</f>
        <v/>
      </c>
      <c r="E19" s="57">
        <f>E17*Assumptions!D15</f>
        <v/>
      </c>
      <c r="F19" s="57">
        <f>F17*Assumptions!D15</f>
        <v/>
      </c>
      <c r="G19" s="57">
        <f>G17*Assumptions!D15</f>
        <v/>
      </c>
      <c r="H19" s="57">
        <f>H17*Assumptions!D15</f>
        <v/>
      </c>
      <c r="I19" s="57">
        <f>I17*Assumptions!D15</f>
        <v/>
      </c>
      <c r="J19" s="57">
        <f>J17*Assumptions!D15</f>
        <v/>
      </c>
      <c r="K19" s="57">
        <f>K17*Assumptions!D15</f>
        <v/>
      </c>
      <c r="L19" s="57">
        <f>L17*Assumptions!D15</f>
        <v/>
      </c>
      <c r="M19" s="57">
        <f>M17*Assumptions!D15</f>
        <v/>
      </c>
      <c r="N19" s="57">
        <f>N17*Assumptions!D15</f>
        <v/>
      </c>
      <c r="O19" s="57">
        <f>O17*Assumptions!D15</f>
        <v/>
      </c>
      <c r="P19" s="57">
        <f>P17*Assumptions!D15</f>
        <v/>
      </c>
      <c r="Q19" s="57">
        <f>Q17*Assumptions!D15</f>
        <v/>
      </c>
      <c r="R19" s="57">
        <f>R17*Assumptions!D15</f>
        <v/>
      </c>
      <c r="S19" s="57">
        <f>S17*Assumptions!D15</f>
        <v/>
      </c>
      <c r="T19" s="57">
        <f>T17*Assumptions!D15</f>
        <v/>
      </c>
      <c r="U19" s="57">
        <f>U17*Assumptions!D15</f>
        <v/>
      </c>
      <c r="V19" s="57">
        <f>V17*Assumptions!D15</f>
        <v/>
      </c>
      <c r="W19" s="57">
        <f>W17*Assumptions!D15</f>
        <v/>
      </c>
      <c r="X19" s="57">
        <f>X17*Assumptions!D15</f>
        <v/>
      </c>
      <c r="Y19" s="57">
        <f>Y17*Assumptions!D15</f>
        <v/>
      </c>
      <c r="Z19" s="57">
        <f>Z17*Assumptions!D15</f>
        <v/>
      </c>
    </row>
    <row r="20" ht="15" customHeight="1" s="36">
      <c r="A20" s="48" t="inlineStr">
        <is>
          <t>Departures under Option C (WAIT)</t>
        </is>
      </c>
      <c r="B20" s="57">
        <f>B17*Assumptions!D16</f>
        <v/>
      </c>
      <c r="C20" s="57">
        <f>C17*Assumptions!D16</f>
        <v/>
      </c>
      <c r="D20" s="57">
        <f>D17*Assumptions!D16</f>
        <v/>
      </c>
      <c r="E20" s="57">
        <f>E17*Assumptions!D16</f>
        <v/>
      </c>
      <c r="F20" s="57">
        <f>F17*Assumptions!D16</f>
        <v/>
      </c>
      <c r="G20" s="57">
        <f>G17*Assumptions!D16</f>
        <v/>
      </c>
      <c r="H20" s="57">
        <f>H17*Assumptions!D16</f>
        <v/>
      </c>
      <c r="I20" s="57">
        <f>I17*Assumptions!D16</f>
        <v/>
      </c>
      <c r="J20" s="57">
        <f>J17*Assumptions!D16</f>
        <v/>
      </c>
      <c r="K20" s="57">
        <f>K17*Assumptions!D16</f>
        <v/>
      </c>
      <c r="L20" s="57">
        <f>L17*Assumptions!D16</f>
        <v/>
      </c>
      <c r="M20" s="57">
        <f>M17*Assumptions!D16</f>
        <v/>
      </c>
      <c r="N20" s="57">
        <f>N17*Assumptions!D16</f>
        <v/>
      </c>
      <c r="O20" s="57">
        <f>O17*Assumptions!D16</f>
        <v/>
      </c>
      <c r="P20" s="57">
        <f>P17*Assumptions!D16</f>
        <v/>
      </c>
      <c r="Q20" s="57">
        <f>Q17*Assumptions!D16</f>
        <v/>
      </c>
      <c r="R20" s="57">
        <f>R17*Assumptions!D16</f>
        <v/>
      </c>
      <c r="S20" s="57">
        <f>S17*Assumptions!D16</f>
        <v/>
      </c>
      <c r="T20" s="57">
        <f>T17*Assumptions!D16</f>
        <v/>
      </c>
      <c r="U20" s="57">
        <f>U17*Assumptions!D16</f>
        <v/>
      </c>
      <c r="V20" s="57">
        <f>V17*Assumptions!D16</f>
        <v/>
      </c>
      <c r="W20" s="57">
        <f>W17*Assumptions!D16</f>
        <v/>
      </c>
      <c r="X20" s="57">
        <f>X17*Assumptions!D16</f>
        <v/>
      </c>
      <c r="Y20" s="57">
        <f>Y17*Assumptions!D16</f>
        <v/>
      </c>
      <c r="Z20" s="57">
        <f>Z17*Assumptions!D16</f>
        <v/>
      </c>
    </row>
    <row r="21" ht="15" customHeight="1" s="36">
      <c r="A21" s="48" t="inlineStr">
        <is>
          <t>Stayers under Option A</t>
        </is>
      </c>
      <c r="B21" s="57">
        <f>B17-B18</f>
        <v/>
      </c>
      <c r="C21" s="57">
        <f>C17-C18</f>
        <v/>
      </c>
      <c r="D21" s="57">
        <f>D17-D18</f>
        <v/>
      </c>
      <c r="E21" s="57">
        <f>E17-E18</f>
        <v/>
      </c>
      <c r="F21" s="57">
        <f>F17-F18</f>
        <v/>
      </c>
      <c r="G21" s="57">
        <f>G17-G18</f>
        <v/>
      </c>
      <c r="H21" s="57">
        <f>H17-H18</f>
        <v/>
      </c>
      <c r="I21" s="57">
        <f>I17-I18</f>
        <v/>
      </c>
      <c r="J21" s="57">
        <f>J17-J18</f>
        <v/>
      </c>
      <c r="K21" s="57">
        <f>K17-K18</f>
        <v/>
      </c>
      <c r="L21" s="57">
        <f>L17-L18</f>
        <v/>
      </c>
      <c r="M21" s="57">
        <f>M17-M18</f>
        <v/>
      </c>
      <c r="N21" s="57">
        <f>N17-N18</f>
        <v/>
      </c>
      <c r="O21" s="57">
        <f>O17-O18</f>
        <v/>
      </c>
      <c r="P21" s="57">
        <f>P17-P18</f>
        <v/>
      </c>
      <c r="Q21" s="57">
        <f>Q17-Q18</f>
        <v/>
      </c>
      <c r="R21" s="57">
        <f>R17-R18</f>
        <v/>
      </c>
      <c r="S21" s="57">
        <f>S17-S18</f>
        <v/>
      </c>
      <c r="T21" s="57">
        <f>T17-T18</f>
        <v/>
      </c>
      <c r="U21" s="57">
        <f>U17-U18</f>
        <v/>
      </c>
      <c r="V21" s="57">
        <f>V17-V18</f>
        <v/>
      </c>
      <c r="W21" s="57">
        <f>W17-W18</f>
        <v/>
      </c>
      <c r="X21" s="57">
        <f>X17-X18</f>
        <v/>
      </c>
      <c r="Y21" s="57">
        <f>Y17-Y18</f>
        <v/>
      </c>
      <c r="Z21" s="57">
        <f>Z17-Z18</f>
        <v/>
      </c>
    </row>
    <row r="22" ht="15" customHeight="1" s="36">
      <c r="A22" s="48" t="inlineStr">
        <is>
          <t>Stayers under Option B</t>
        </is>
      </c>
      <c r="B22" s="57">
        <f>B17-B19</f>
        <v/>
      </c>
      <c r="C22" s="57">
        <f>C17-C19</f>
        <v/>
      </c>
      <c r="D22" s="57">
        <f>D17-D19</f>
        <v/>
      </c>
      <c r="E22" s="57">
        <f>E17-E19</f>
        <v/>
      </c>
      <c r="F22" s="57">
        <f>F17-F19</f>
        <v/>
      </c>
      <c r="G22" s="57">
        <f>G17-G19</f>
        <v/>
      </c>
      <c r="H22" s="57">
        <f>H17-H19</f>
        <v/>
      </c>
      <c r="I22" s="57">
        <f>I17-I19</f>
        <v/>
      </c>
      <c r="J22" s="57">
        <f>J17-J19</f>
        <v/>
      </c>
      <c r="K22" s="57">
        <f>K17-K19</f>
        <v/>
      </c>
      <c r="L22" s="57">
        <f>L17-L19</f>
        <v/>
      </c>
      <c r="M22" s="57">
        <f>M17-M19</f>
        <v/>
      </c>
      <c r="N22" s="57">
        <f>N17-N19</f>
        <v/>
      </c>
      <c r="O22" s="57">
        <f>O17-O19</f>
        <v/>
      </c>
      <c r="P22" s="57">
        <f>P17-P19</f>
        <v/>
      </c>
      <c r="Q22" s="57">
        <f>Q17-Q19</f>
        <v/>
      </c>
      <c r="R22" s="57">
        <f>R17-R19</f>
        <v/>
      </c>
      <c r="S22" s="57">
        <f>S17-S19</f>
        <v/>
      </c>
      <c r="T22" s="57">
        <f>T17-T19</f>
        <v/>
      </c>
      <c r="U22" s="57">
        <f>U17-U19</f>
        <v/>
      </c>
      <c r="V22" s="57">
        <f>V17-V19</f>
        <v/>
      </c>
      <c r="W22" s="57">
        <f>W17-W19</f>
        <v/>
      </c>
      <c r="X22" s="57">
        <f>X17-X19</f>
        <v/>
      </c>
      <c r="Y22" s="57">
        <f>Y17-Y19</f>
        <v/>
      </c>
      <c r="Z22" s="57">
        <f>Z17-Z19</f>
        <v/>
      </c>
    </row>
    <row r="23" ht="15" customHeight="1" s="36">
      <c r="A23" s="48" t="inlineStr">
        <is>
          <t>Stayers under Option C</t>
        </is>
      </c>
      <c r="B23" s="57">
        <f>B17-B20</f>
        <v/>
      </c>
      <c r="C23" s="57">
        <f>C17-C20</f>
        <v/>
      </c>
      <c r="D23" s="57">
        <f>D17-D20</f>
        <v/>
      </c>
      <c r="E23" s="57">
        <f>E17-E20</f>
        <v/>
      </c>
      <c r="F23" s="57">
        <f>F17-F20</f>
        <v/>
      </c>
      <c r="G23" s="57">
        <f>G17-G20</f>
        <v/>
      </c>
      <c r="H23" s="57">
        <f>H17-H20</f>
        <v/>
      </c>
      <c r="I23" s="57">
        <f>I17-I20</f>
        <v/>
      </c>
      <c r="J23" s="57">
        <f>J17-J20</f>
        <v/>
      </c>
      <c r="K23" s="57">
        <f>K17-K20</f>
        <v/>
      </c>
      <c r="L23" s="57">
        <f>L17-L20</f>
        <v/>
      </c>
      <c r="M23" s="57">
        <f>M17-M20</f>
        <v/>
      </c>
      <c r="N23" s="57">
        <f>N17-N20</f>
        <v/>
      </c>
      <c r="O23" s="57">
        <f>O17-O20</f>
        <v/>
      </c>
      <c r="P23" s="57">
        <f>P17-P20</f>
        <v/>
      </c>
      <c r="Q23" s="57">
        <f>Q17-Q20</f>
        <v/>
      </c>
      <c r="R23" s="57">
        <f>R17-R20</f>
        <v/>
      </c>
      <c r="S23" s="57">
        <f>S17-S20</f>
        <v/>
      </c>
      <c r="T23" s="57">
        <f>T17-T20</f>
        <v/>
      </c>
      <c r="U23" s="57">
        <f>U17-U20</f>
        <v/>
      </c>
      <c r="V23" s="57">
        <f>V17-V20</f>
        <v/>
      </c>
      <c r="W23" s="57">
        <f>W17-W20</f>
        <v/>
      </c>
      <c r="X23" s="57">
        <f>X17-X20</f>
        <v/>
      </c>
      <c r="Y23" s="57">
        <f>Y17-Y20</f>
        <v/>
      </c>
      <c r="Z23" s="57">
        <f>Z17-Z20</f>
        <v/>
      </c>
    </row>
    <row r="26" ht="15" customHeight="1" s="36">
      <c r="A26" s="55" t="inlineStr">
        <is>
          <t>WORST CASE</t>
        </is>
      </c>
    </row>
    <row r="27" ht="15" customHeight="1" s="36">
      <c r="A27" s="48" t="inlineStr">
        <is>
          <t>New tech founders entering IHT exposure per year</t>
        </is>
      </c>
      <c r="B27" s="56">
        <f>Assumptions!E6</f>
        <v/>
      </c>
      <c r="C27" s="57">
        <f>B27*(1+Assumptions!E7)</f>
        <v/>
      </c>
      <c r="D27" s="57">
        <f>C27*(1+Assumptions!E7)</f>
        <v/>
      </c>
      <c r="E27" s="57">
        <f>D27*(1+Assumptions!E7)</f>
        <v/>
      </c>
      <c r="F27" s="57">
        <f>E27*(1+Assumptions!E7)</f>
        <v/>
      </c>
      <c r="G27" s="57">
        <f>F27*(1+Assumptions!E7)</f>
        <v/>
      </c>
      <c r="H27" s="57">
        <f>G27*(1+Assumptions!E7)</f>
        <v/>
      </c>
      <c r="I27" s="57">
        <f>H27*(1+Assumptions!E7)</f>
        <v/>
      </c>
      <c r="J27" s="57">
        <f>I27*(1+Assumptions!E7)</f>
        <v/>
      </c>
      <c r="K27" s="57">
        <f>J27*(1+Assumptions!E7)</f>
        <v/>
      </c>
      <c r="L27" s="57">
        <f>K27*(1+Assumptions!E7)</f>
        <v/>
      </c>
      <c r="M27" s="57">
        <f>L27*(1+Assumptions!E7)</f>
        <v/>
      </c>
      <c r="N27" s="57">
        <f>M27*(1+Assumptions!E7)</f>
        <v/>
      </c>
      <c r="O27" s="57">
        <f>N27*(1+Assumptions!E7)</f>
        <v/>
      </c>
      <c r="P27" s="57">
        <f>O27*(1+Assumptions!E7)</f>
        <v/>
      </c>
      <c r="Q27" s="57">
        <f>P27*(1+Assumptions!E7)</f>
        <v/>
      </c>
      <c r="R27" s="57">
        <f>Q27*(1+Assumptions!E7)</f>
        <v/>
      </c>
      <c r="S27" s="57">
        <f>R27*(1+Assumptions!E7)</f>
        <v/>
      </c>
      <c r="T27" s="57">
        <f>S27*(1+Assumptions!E7)</f>
        <v/>
      </c>
      <c r="U27" s="57">
        <f>T27*(1+Assumptions!E7)</f>
        <v/>
      </c>
      <c r="V27" s="57">
        <f>U27*(1+Assumptions!E7)</f>
        <v/>
      </c>
      <c r="W27" s="57">
        <f>V27*(1+Assumptions!E7)</f>
        <v/>
      </c>
      <c r="X27" s="57">
        <f>W27*(1+Assumptions!E7)</f>
        <v/>
      </c>
      <c r="Y27" s="57">
        <f>X27*(1+Assumptions!E7)</f>
        <v/>
      </c>
      <c r="Z27" s="57">
        <f>Y27*(1+Assumptions!E7)</f>
        <v/>
      </c>
    </row>
    <row r="28" ht="15" customHeight="1" s="36">
      <c r="A28" s="48" t="inlineStr">
        <is>
          <t>Departures under Option A (HOLD)</t>
        </is>
      </c>
      <c r="B28" s="57">
        <f>B27*Assumptions!E14</f>
        <v/>
      </c>
      <c r="C28" s="57">
        <f>C27*Assumptions!E14</f>
        <v/>
      </c>
      <c r="D28" s="57">
        <f>D27*Assumptions!E14</f>
        <v/>
      </c>
      <c r="E28" s="57">
        <f>E27*Assumptions!E14</f>
        <v/>
      </c>
      <c r="F28" s="57">
        <f>F27*Assumptions!E14</f>
        <v/>
      </c>
      <c r="G28" s="57">
        <f>G27*Assumptions!E14</f>
        <v/>
      </c>
      <c r="H28" s="57">
        <f>H27*Assumptions!E14</f>
        <v/>
      </c>
      <c r="I28" s="57">
        <f>I27*Assumptions!E14</f>
        <v/>
      </c>
      <c r="J28" s="57">
        <f>J27*Assumptions!E14</f>
        <v/>
      </c>
      <c r="K28" s="57">
        <f>K27*Assumptions!E14</f>
        <v/>
      </c>
      <c r="L28" s="57">
        <f>L27*Assumptions!E14</f>
        <v/>
      </c>
      <c r="M28" s="57">
        <f>M27*Assumptions!E14</f>
        <v/>
      </c>
      <c r="N28" s="57">
        <f>N27*Assumptions!E14</f>
        <v/>
      </c>
      <c r="O28" s="57">
        <f>O27*Assumptions!E14</f>
        <v/>
      </c>
      <c r="P28" s="57">
        <f>P27*Assumptions!E14</f>
        <v/>
      </c>
      <c r="Q28" s="57">
        <f>Q27*Assumptions!E14</f>
        <v/>
      </c>
      <c r="R28" s="57">
        <f>R27*Assumptions!E14</f>
        <v/>
      </c>
      <c r="S28" s="57">
        <f>S27*Assumptions!E14</f>
        <v/>
      </c>
      <c r="T28" s="57">
        <f>T27*Assumptions!E14</f>
        <v/>
      </c>
      <c r="U28" s="57">
        <f>U27*Assumptions!E14</f>
        <v/>
      </c>
      <c r="V28" s="57">
        <f>V27*Assumptions!E14</f>
        <v/>
      </c>
      <c r="W28" s="57">
        <f>W27*Assumptions!E14</f>
        <v/>
      </c>
      <c r="X28" s="57">
        <f>X27*Assumptions!E14</f>
        <v/>
      </c>
      <c r="Y28" s="57">
        <f>Y27*Assumptions!E14</f>
        <v/>
      </c>
      <c r="Z28" s="57">
        <f>Z27*Assumptions!E14</f>
        <v/>
      </c>
    </row>
    <row r="29" ht="15" customHeight="1" s="36">
      <c r="A29" s="48" t="inlineStr">
        <is>
          <t>Departures under Option B (CHANGE)</t>
        </is>
      </c>
      <c r="B29" s="57">
        <f>B27*Assumptions!E15</f>
        <v/>
      </c>
      <c r="C29" s="57">
        <f>C27*Assumptions!E15</f>
        <v/>
      </c>
      <c r="D29" s="57">
        <f>D27*Assumptions!E15</f>
        <v/>
      </c>
      <c r="E29" s="57">
        <f>E27*Assumptions!E15</f>
        <v/>
      </c>
      <c r="F29" s="57">
        <f>F27*Assumptions!E15</f>
        <v/>
      </c>
      <c r="G29" s="57">
        <f>G27*Assumptions!E15</f>
        <v/>
      </c>
      <c r="H29" s="57">
        <f>H27*Assumptions!E15</f>
        <v/>
      </c>
      <c r="I29" s="57">
        <f>I27*Assumptions!E15</f>
        <v/>
      </c>
      <c r="J29" s="57">
        <f>J27*Assumptions!E15</f>
        <v/>
      </c>
      <c r="K29" s="57">
        <f>K27*Assumptions!E15</f>
        <v/>
      </c>
      <c r="L29" s="57">
        <f>L27*Assumptions!E15</f>
        <v/>
      </c>
      <c r="M29" s="57">
        <f>M27*Assumptions!E15</f>
        <v/>
      </c>
      <c r="N29" s="57">
        <f>N27*Assumptions!E15</f>
        <v/>
      </c>
      <c r="O29" s="57">
        <f>O27*Assumptions!E15</f>
        <v/>
      </c>
      <c r="P29" s="57">
        <f>P27*Assumptions!E15</f>
        <v/>
      </c>
      <c r="Q29" s="57">
        <f>Q27*Assumptions!E15</f>
        <v/>
      </c>
      <c r="R29" s="57">
        <f>R27*Assumptions!E15</f>
        <v/>
      </c>
      <c r="S29" s="57">
        <f>S27*Assumptions!E15</f>
        <v/>
      </c>
      <c r="T29" s="57">
        <f>T27*Assumptions!E15</f>
        <v/>
      </c>
      <c r="U29" s="57">
        <f>U27*Assumptions!E15</f>
        <v/>
      </c>
      <c r="V29" s="57">
        <f>V27*Assumptions!E15</f>
        <v/>
      </c>
      <c r="W29" s="57">
        <f>W27*Assumptions!E15</f>
        <v/>
      </c>
      <c r="X29" s="57">
        <f>X27*Assumptions!E15</f>
        <v/>
      </c>
      <c r="Y29" s="57">
        <f>Y27*Assumptions!E15</f>
        <v/>
      </c>
      <c r="Z29" s="57">
        <f>Z27*Assumptions!E15</f>
        <v/>
      </c>
    </row>
    <row r="30" ht="15" customHeight="1" s="36">
      <c r="A30" s="48" t="inlineStr">
        <is>
          <t>Departures under Option C (WAIT)</t>
        </is>
      </c>
      <c r="B30" s="57">
        <f>B27*Assumptions!E16</f>
        <v/>
      </c>
      <c r="C30" s="57">
        <f>C27*Assumptions!E16</f>
        <v/>
      </c>
      <c r="D30" s="57">
        <f>D27*Assumptions!E16</f>
        <v/>
      </c>
      <c r="E30" s="57">
        <f>E27*Assumptions!E16</f>
        <v/>
      </c>
      <c r="F30" s="57">
        <f>F27*Assumptions!E16</f>
        <v/>
      </c>
      <c r="G30" s="57">
        <f>G27*Assumptions!E16</f>
        <v/>
      </c>
      <c r="H30" s="57">
        <f>H27*Assumptions!E16</f>
        <v/>
      </c>
      <c r="I30" s="57">
        <f>I27*Assumptions!E16</f>
        <v/>
      </c>
      <c r="J30" s="57">
        <f>J27*Assumptions!E16</f>
        <v/>
      </c>
      <c r="K30" s="57">
        <f>K27*Assumptions!E16</f>
        <v/>
      </c>
      <c r="L30" s="57">
        <f>L27*Assumptions!E16</f>
        <v/>
      </c>
      <c r="M30" s="57">
        <f>M27*Assumptions!E16</f>
        <v/>
      </c>
      <c r="N30" s="57">
        <f>N27*Assumptions!E16</f>
        <v/>
      </c>
      <c r="O30" s="57">
        <f>O27*Assumptions!E16</f>
        <v/>
      </c>
      <c r="P30" s="57">
        <f>P27*Assumptions!E16</f>
        <v/>
      </c>
      <c r="Q30" s="57">
        <f>Q27*Assumptions!E16</f>
        <v/>
      </c>
      <c r="R30" s="57">
        <f>R27*Assumptions!E16</f>
        <v/>
      </c>
      <c r="S30" s="57">
        <f>S27*Assumptions!E16</f>
        <v/>
      </c>
      <c r="T30" s="57">
        <f>T27*Assumptions!E16</f>
        <v/>
      </c>
      <c r="U30" s="57">
        <f>U27*Assumptions!E16</f>
        <v/>
      </c>
      <c r="V30" s="57">
        <f>V27*Assumptions!E16</f>
        <v/>
      </c>
      <c r="W30" s="57">
        <f>W27*Assumptions!E16</f>
        <v/>
      </c>
      <c r="X30" s="57">
        <f>X27*Assumptions!E16</f>
        <v/>
      </c>
      <c r="Y30" s="57">
        <f>Y27*Assumptions!E16</f>
        <v/>
      </c>
      <c r="Z30" s="57">
        <f>Z27*Assumptions!E16</f>
        <v/>
      </c>
    </row>
    <row r="31" ht="15" customHeight="1" s="36">
      <c r="A31" s="48" t="inlineStr">
        <is>
          <t>Stayers under Option A</t>
        </is>
      </c>
      <c r="B31" s="57">
        <f>B27-B28</f>
        <v/>
      </c>
      <c r="C31" s="57">
        <f>C27-C28</f>
        <v/>
      </c>
      <c r="D31" s="57">
        <f>D27-D28</f>
        <v/>
      </c>
      <c r="E31" s="57">
        <f>E27-E28</f>
        <v/>
      </c>
      <c r="F31" s="57">
        <f>F27-F28</f>
        <v/>
      </c>
      <c r="G31" s="57">
        <f>G27-G28</f>
        <v/>
      </c>
      <c r="H31" s="57">
        <f>H27-H28</f>
        <v/>
      </c>
      <c r="I31" s="57">
        <f>I27-I28</f>
        <v/>
      </c>
      <c r="J31" s="57">
        <f>J27-J28</f>
        <v/>
      </c>
      <c r="K31" s="57">
        <f>K27-K28</f>
        <v/>
      </c>
      <c r="L31" s="57">
        <f>L27-L28</f>
        <v/>
      </c>
      <c r="M31" s="57">
        <f>M27-M28</f>
        <v/>
      </c>
      <c r="N31" s="57">
        <f>N27-N28</f>
        <v/>
      </c>
      <c r="O31" s="57">
        <f>O27-O28</f>
        <v/>
      </c>
      <c r="P31" s="57">
        <f>P27-P28</f>
        <v/>
      </c>
      <c r="Q31" s="57">
        <f>Q27-Q28</f>
        <v/>
      </c>
      <c r="R31" s="57">
        <f>R27-R28</f>
        <v/>
      </c>
      <c r="S31" s="57">
        <f>S27-S28</f>
        <v/>
      </c>
      <c r="T31" s="57">
        <f>T27-T28</f>
        <v/>
      </c>
      <c r="U31" s="57">
        <f>U27-U28</f>
        <v/>
      </c>
      <c r="V31" s="57">
        <f>V27-V28</f>
        <v/>
      </c>
      <c r="W31" s="57">
        <f>W27-W28</f>
        <v/>
      </c>
      <c r="X31" s="57">
        <f>X27-X28</f>
        <v/>
      </c>
      <c r="Y31" s="57">
        <f>Y27-Y28</f>
        <v/>
      </c>
      <c r="Z31" s="57">
        <f>Z27-Z28</f>
        <v/>
      </c>
    </row>
    <row r="32" ht="15" customHeight="1" s="36">
      <c r="A32" s="48" t="inlineStr">
        <is>
          <t>Stayers under Option B</t>
        </is>
      </c>
      <c r="B32" s="57">
        <f>B27-B29</f>
        <v/>
      </c>
      <c r="C32" s="57">
        <f>C27-C29</f>
        <v/>
      </c>
      <c r="D32" s="57">
        <f>D27-D29</f>
        <v/>
      </c>
      <c r="E32" s="57">
        <f>E27-E29</f>
        <v/>
      </c>
      <c r="F32" s="57">
        <f>F27-F29</f>
        <v/>
      </c>
      <c r="G32" s="57">
        <f>G27-G29</f>
        <v/>
      </c>
      <c r="H32" s="57">
        <f>H27-H29</f>
        <v/>
      </c>
      <c r="I32" s="57">
        <f>I27-I29</f>
        <v/>
      </c>
      <c r="J32" s="57">
        <f>J27-J29</f>
        <v/>
      </c>
      <c r="K32" s="57">
        <f>K27-K29</f>
        <v/>
      </c>
      <c r="L32" s="57">
        <f>L27-L29</f>
        <v/>
      </c>
      <c r="M32" s="57">
        <f>M27-M29</f>
        <v/>
      </c>
      <c r="N32" s="57">
        <f>N27-N29</f>
        <v/>
      </c>
      <c r="O32" s="57">
        <f>O27-O29</f>
        <v/>
      </c>
      <c r="P32" s="57">
        <f>P27-P29</f>
        <v/>
      </c>
      <c r="Q32" s="57">
        <f>Q27-Q29</f>
        <v/>
      </c>
      <c r="R32" s="57">
        <f>R27-R29</f>
        <v/>
      </c>
      <c r="S32" s="57">
        <f>S27-S29</f>
        <v/>
      </c>
      <c r="T32" s="57">
        <f>T27-T29</f>
        <v/>
      </c>
      <c r="U32" s="57">
        <f>U27-U29</f>
        <v/>
      </c>
      <c r="V32" s="57">
        <f>V27-V29</f>
        <v/>
      </c>
      <c r="W32" s="57">
        <f>W27-W29</f>
        <v/>
      </c>
      <c r="X32" s="57">
        <f>X27-X29</f>
        <v/>
      </c>
      <c r="Y32" s="57">
        <f>Y27-Y29</f>
        <v/>
      </c>
      <c r="Z32" s="57">
        <f>Z27-Z29</f>
        <v/>
      </c>
    </row>
    <row r="33" ht="15" customHeight="1" s="36">
      <c r="A33" s="48" t="inlineStr">
        <is>
          <t>Stayers under Option C</t>
        </is>
      </c>
      <c r="B33" s="57">
        <f>B27-B30</f>
        <v/>
      </c>
      <c r="C33" s="57">
        <f>C27-C30</f>
        <v/>
      </c>
      <c r="D33" s="57">
        <f>D27-D30</f>
        <v/>
      </c>
      <c r="E33" s="57">
        <f>E27-E30</f>
        <v/>
      </c>
      <c r="F33" s="57">
        <f>F27-F30</f>
        <v/>
      </c>
      <c r="G33" s="57">
        <f>G27-G30</f>
        <v/>
      </c>
      <c r="H33" s="57">
        <f>H27-H30</f>
        <v/>
      </c>
      <c r="I33" s="57">
        <f>I27-I30</f>
        <v/>
      </c>
      <c r="J33" s="57">
        <f>J27-J30</f>
        <v/>
      </c>
      <c r="K33" s="57">
        <f>K27-K30</f>
        <v/>
      </c>
      <c r="L33" s="57">
        <f>L27-L30</f>
        <v/>
      </c>
      <c r="M33" s="57">
        <f>M27-M30</f>
        <v/>
      </c>
      <c r="N33" s="57">
        <f>N27-N30</f>
        <v/>
      </c>
      <c r="O33" s="57">
        <f>O27-O30</f>
        <v/>
      </c>
      <c r="P33" s="57">
        <f>P27-P30</f>
        <v/>
      </c>
      <c r="Q33" s="57">
        <f>Q27-Q30</f>
        <v/>
      </c>
      <c r="R33" s="57">
        <f>R27-R30</f>
        <v/>
      </c>
      <c r="S33" s="57">
        <f>S27-S30</f>
        <v/>
      </c>
      <c r="T33" s="57">
        <f>T27-T30</f>
        <v/>
      </c>
      <c r="U33" s="57">
        <f>U27-U30</f>
        <v/>
      </c>
      <c r="V33" s="57">
        <f>V27-V30</f>
        <v/>
      </c>
      <c r="W33" s="57">
        <f>W27-W30</f>
        <v/>
      </c>
      <c r="X33" s="57">
        <f>X27-X30</f>
        <v/>
      </c>
      <c r="Y33" s="57">
        <f>Y27-Y30</f>
        <v/>
      </c>
      <c r="Z33" s="57">
        <f>Z27-Z30</f>
        <v/>
      </c>
    </row>
  </sheetData>
  <mergeCells count="2">
    <mergeCell ref="A1:Z1"/>
    <mergeCell ref="A2:Z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Z32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55" customWidth="1" style="35" min="1" max="1"/>
    <col width="10" customWidth="1" style="35" min="2" max="26"/>
  </cols>
  <sheetData>
    <row r="1" ht="17.35" customHeight="1" s="36">
      <c r="A1" s="43" t="inlineStr">
        <is>
          <t>DIRECT FISCAL — IHT (Options A, C) and CGT (Option B) collected from the cohort</t>
        </is>
      </c>
    </row>
    <row r="2" ht="15" customHeight="1" s="36">
      <c r="A2" s="39" t="inlineStr">
        <is>
          <t>All figures £m. Each year's cohort produces tax revenue spread over expected lifetime.</t>
        </is>
      </c>
    </row>
    <row r="4" ht="15" customHeight="1" s="36">
      <c r="A4" s="46" t="inlineStr">
        <is>
          <t>Item</t>
        </is>
      </c>
      <c r="B4" s="47" t="inlineStr">
        <is>
          <t>Y1</t>
        </is>
      </c>
      <c r="C4" s="47" t="inlineStr">
        <is>
          <t>Y2</t>
        </is>
      </c>
      <c r="D4" s="47" t="inlineStr">
        <is>
          <t>Y3</t>
        </is>
      </c>
      <c r="E4" s="47" t="inlineStr">
        <is>
          <t>Y4</t>
        </is>
      </c>
      <c r="F4" s="47" t="inlineStr">
        <is>
          <t>Y5</t>
        </is>
      </c>
      <c r="G4" s="47" t="inlineStr">
        <is>
          <t>Y6</t>
        </is>
      </c>
      <c r="H4" s="47" t="inlineStr">
        <is>
          <t>Y7</t>
        </is>
      </c>
      <c r="I4" s="47" t="inlineStr">
        <is>
          <t>Y8</t>
        </is>
      </c>
      <c r="J4" s="47" t="inlineStr">
        <is>
          <t>Y9</t>
        </is>
      </c>
      <c r="K4" s="47" t="inlineStr">
        <is>
          <t>Y10</t>
        </is>
      </c>
      <c r="L4" s="47" t="inlineStr">
        <is>
          <t>Y11</t>
        </is>
      </c>
      <c r="M4" s="47" t="inlineStr">
        <is>
          <t>Y12</t>
        </is>
      </c>
      <c r="N4" s="47" t="inlineStr">
        <is>
          <t>Y13</t>
        </is>
      </c>
      <c r="O4" s="47" t="inlineStr">
        <is>
          <t>Y14</t>
        </is>
      </c>
      <c r="P4" s="47" t="inlineStr">
        <is>
          <t>Y15</t>
        </is>
      </c>
      <c r="Q4" s="47" t="inlineStr">
        <is>
          <t>Y16</t>
        </is>
      </c>
      <c r="R4" s="47" t="inlineStr">
        <is>
          <t>Y17</t>
        </is>
      </c>
      <c r="S4" s="47" t="inlineStr">
        <is>
          <t>Y18</t>
        </is>
      </c>
      <c r="T4" s="47" t="inlineStr">
        <is>
          <t>Y19</t>
        </is>
      </c>
      <c r="U4" s="47" t="inlineStr">
        <is>
          <t>Y20</t>
        </is>
      </c>
      <c r="V4" s="47" t="inlineStr">
        <is>
          <t>Y21</t>
        </is>
      </c>
      <c r="W4" s="47" t="inlineStr">
        <is>
          <t>Y22</t>
        </is>
      </c>
      <c r="X4" s="47" t="inlineStr">
        <is>
          <t>Y23</t>
        </is>
      </c>
      <c r="Y4" s="47" t="inlineStr">
        <is>
          <t>Y24</t>
        </is>
      </c>
      <c r="Z4" s="47" t="inlineStr">
        <is>
          <t>Y25</t>
        </is>
      </c>
    </row>
    <row r="6" ht="15" customHeight="1" s="36">
      <c r="A6" s="55" t="inlineStr">
        <is>
          <t>BEST CASE</t>
        </is>
      </c>
    </row>
    <row r="7" ht="15" customHeight="1" s="36">
      <c r="A7" s="48" t="inlineStr">
        <is>
          <t>Per-founder IHT collected at death — Options A &amp; C (£m per founder)</t>
        </is>
      </c>
      <c r="B7" s="58">
        <f>MAX(0, (Assumptions!C8 * Assumptions!C22 - 2.5) * Assumptions!C20)</f>
        <v/>
      </c>
    </row>
    <row r="8" ht="15" customHeight="1" s="36">
      <c r="A8" s="48" t="inlineStr">
        <is>
          <t>Per-founder CGT collected at exit — Option B (£m per founder)</t>
        </is>
      </c>
      <c r="B8" s="58">
        <f>Assumptions!C10 * MAX(0, (Assumptions!C9 - Assumptions!C8)) * Assumptions!C22 * Assumptions!C21</f>
        <v/>
      </c>
    </row>
    <row r="10" ht="15" customHeight="1" s="36">
      <c r="A10" s="59" t="inlineStr">
        <is>
          <t>Option A — IHT receipts (£m per year)</t>
        </is>
      </c>
      <c r="B10" s="57">
        <f>IFERROR(IF(2-INT(Assumptions!C23)&lt;2,0,INDEX('Cohort flow'!$B$11:$Z$11, 2-INT(Assumptions!C23)-1) * $B$7),0)</f>
        <v/>
      </c>
      <c r="C10" s="57">
        <f>IFERROR(IF(3-INT(Assumptions!C23)&lt;2,0,INDEX('Cohort flow'!$B$11:$Z$11, 3-INT(Assumptions!C23)-1) * $B$7),0)</f>
        <v/>
      </c>
      <c r="D10" s="57">
        <f>IFERROR(IF(4-INT(Assumptions!C23)&lt;2,0,INDEX('Cohort flow'!$B$11:$Z$11, 4-INT(Assumptions!C23)-1) * $B$7),0)</f>
        <v/>
      </c>
      <c r="E10" s="57">
        <f>IFERROR(IF(5-INT(Assumptions!C23)&lt;2,0,INDEX('Cohort flow'!$B$11:$Z$11, 5-INT(Assumptions!C23)-1) * $B$7),0)</f>
        <v/>
      </c>
      <c r="F10" s="57">
        <f>IFERROR(IF(6-INT(Assumptions!C23)&lt;2,0,INDEX('Cohort flow'!$B$11:$Z$11, 6-INT(Assumptions!C23)-1) * $B$7),0)</f>
        <v/>
      </c>
      <c r="G10" s="57">
        <f>IFERROR(IF(7-INT(Assumptions!C23)&lt;2,0,INDEX('Cohort flow'!$B$11:$Z$11, 7-INT(Assumptions!C23)-1) * $B$7),0)</f>
        <v/>
      </c>
      <c r="H10" s="57">
        <f>IFERROR(IF(8-INT(Assumptions!C23)&lt;2,0,INDEX('Cohort flow'!$B$11:$Z$11, 8-INT(Assumptions!C23)-1) * $B$7),0)</f>
        <v/>
      </c>
      <c r="I10" s="57">
        <f>IFERROR(IF(9-INT(Assumptions!C23)&lt;2,0,INDEX('Cohort flow'!$B$11:$Z$11, 9-INT(Assumptions!C23)-1) * $B$7),0)</f>
        <v/>
      </c>
      <c r="J10" s="57">
        <f>IFERROR(IF(10-INT(Assumptions!C23)&lt;2,0,INDEX('Cohort flow'!$B$11:$Z$11, 10-INT(Assumptions!C23)-1) * $B$7),0)</f>
        <v/>
      </c>
      <c r="K10" s="57">
        <f>IFERROR(IF(11-INT(Assumptions!C23)&lt;2,0,INDEX('Cohort flow'!$B$11:$Z$11, 11-INT(Assumptions!C23)-1) * $B$7),0)</f>
        <v/>
      </c>
      <c r="L10" s="57">
        <f>IFERROR(IF(12-INT(Assumptions!C23)&lt;2,0,INDEX('Cohort flow'!$B$11:$Z$11, 12-INT(Assumptions!C23)-1) * $B$7),0)</f>
        <v/>
      </c>
      <c r="M10" s="57">
        <f>IFERROR(IF(13-INT(Assumptions!C23)&lt;2,0,INDEX('Cohort flow'!$B$11:$Z$11, 13-INT(Assumptions!C23)-1) * $B$7),0)</f>
        <v/>
      </c>
      <c r="N10" s="57">
        <f>IFERROR(IF(14-INT(Assumptions!C23)&lt;2,0,INDEX('Cohort flow'!$B$11:$Z$11, 14-INT(Assumptions!C23)-1) * $B$7),0)</f>
        <v/>
      </c>
      <c r="O10" s="57">
        <f>IFERROR(IF(15-INT(Assumptions!C23)&lt;2,0,INDEX('Cohort flow'!$B$11:$Z$11, 15-INT(Assumptions!C23)-1) * $B$7),0)</f>
        <v/>
      </c>
      <c r="P10" s="57">
        <f>IFERROR(IF(16-INT(Assumptions!C23)&lt;2,0,INDEX('Cohort flow'!$B$11:$Z$11, 16-INT(Assumptions!C23)-1) * $B$7),0)</f>
        <v/>
      </c>
      <c r="Q10" s="57">
        <f>IFERROR(IF(17-INT(Assumptions!C23)&lt;2,0,INDEX('Cohort flow'!$B$11:$Z$11, 17-INT(Assumptions!C23)-1) * $B$7),0)</f>
        <v/>
      </c>
      <c r="R10" s="57">
        <f>IFERROR(IF(18-INT(Assumptions!C23)&lt;2,0,INDEX('Cohort flow'!$B$11:$Z$11, 18-INT(Assumptions!C23)-1) * $B$7),0)</f>
        <v/>
      </c>
      <c r="S10" s="57">
        <f>IFERROR(IF(19-INT(Assumptions!C23)&lt;2,0,INDEX('Cohort flow'!$B$11:$Z$11, 19-INT(Assumptions!C23)-1) * $B$7),0)</f>
        <v/>
      </c>
      <c r="T10" s="57">
        <f>IFERROR(IF(20-INT(Assumptions!C23)&lt;2,0,INDEX('Cohort flow'!$B$11:$Z$11, 20-INT(Assumptions!C23)-1) * $B$7),0)</f>
        <v/>
      </c>
      <c r="U10" s="57">
        <f>IFERROR(IF(21-INT(Assumptions!C23)&lt;2,0,INDEX('Cohort flow'!$B$11:$Z$11, 21-INT(Assumptions!C23)-1) * $B$7),0)</f>
        <v/>
      </c>
      <c r="V10" s="57">
        <f>IFERROR(IF(22-INT(Assumptions!C23)&lt;2,0,INDEX('Cohort flow'!$B$11:$Z$11, 22-INT(Assumptions!C23)-1) * $B$7),0)</f>
        <v/>
      </c>
      <c r="W10" s="57">
        <f>IFERROR(IF(23-INT(Assumptions!C23)&lt;2,0,INDEX('Cohort flow'!$B$11:$Z$11, 23-INT(Assumptions!C23)-1) * $B$7),0)</f>
        <v/>
      </c>
      <c r="X10" s="57">
        <f>IFERROR(IF(24-INT(Assumptions!C23)&lt;2,0,INDEX('Cohort flow'!$B$11:$Z$11, 24-INT(Assumptions!C23)-1) * $B$7),0)</f>
        <v/>
      </c>
      <c r="Y10" s="57">
        <f>IFERROR(IF(25-INT(Assumptions!C23)&lt;2,0,INDEX('Cohort flow'!$B$11:$Z$11, 25-INT(Assumptions!C23)-1) * $B$7),0)</f>
        <v/>
      </c>
      <c r="Z10" s="57">
        <f>IFERROR(IF(26-INT(Assumptions!C23)&lt;2,0,INDEX('Cohort flow'!$B$11:$Z$11, 26-INT(Assumptions!C23)-1) * $B$7),0)</f>
        <v/>
      </c>
    </row>
    <row r="11" ht="15" customHeight="1" s="36">
      <c r="A11" s="59" t="inlineStr">
        <is>
          <t>Option B — CGT receipts (£m per year)</t>
        </is>
      </c>
      <c r="B11" s="57">
        <f>IFERROR(IF(2-INT(Assumptions!C24)&lt;2,0,INDEX('Cohort flow'!$B$12:$Z$12, 2-INT(Assumptions!C24)-1) * $B$8),0)</f>
        <v/>
      </c>
      <c r="C11" s="57">
        <f>IFERROR(IF(3-INT(Assumptions!C24)&lt;2,0,INDEX('Cohort flow'!$B$12:$Z$12, 3-INT(Assumptions!C24)-1) * $B$8),0)</f>
        <v/>
      </c>
      <c r="D11" s="57">
        <f>IFERROR(IF(4-INT(Assumptions!C24)&lt;2,0,INDEX('Cohort flow'!$B$12:$Z$12, 4-INT(Assumptions!C24)-1) * $B$8),0)</f>
        <v/>
      </c>
      <c r="E11" s="57">
        <f>IFERROR(IF(5-INT(Assumptions!C24)&lt;2,0,INDEX('Cohort flow'!$B$12:$Z$12, 5-INT(Assumptions!C24)-1) * $B$8),0)</f>
        <v/>
      </c>
      <c r="F11" s="57">
        <f>IFERROR(IF(6-INT(Assumptions!C24)&lt;2,0,INDEX('Cohort flow'!$B$12:$Z$12, 6-INT(Assumptions!C24)-1) * $B$8),0)</f>
        <v/>
      </c>
      <c r="G11" s="57">
        <f>IFERROR(IF(7-INT(Assumptions!C24)&lt;2,0,INDEX('Cohort flow'!$B$12:$Z$12, 7-INT(Assumptions!C24)-1) * $B$8),0)</f>
        <v/>
      </c>
      <c r="H11" s="57">
        <f>IFERROR(IF(8-INT(Assumptions!C24)&lt;2,0,INDEX('Cohort flow'!$B$12:$Z$12, 8-INT(Assumptions!C24)-1) * $B$8),0)</f>
        <v/>
      </c>
      <c r="I11" s="57">
        <f>IFERROR(IF(9-INT(Assumptions!C24)&lt;2,0,INDEX('Cohort flow'!$B$12:$Z$12, 9-INT(Assumptions!C24)-1) * $B$8),0)</f>
        <v/>
      </c>
      <c r="J11" s="57">
        <f>IFERROR(IF(10-INT(Assumptions!C24)&lt;2,0,INDEX('Cohort flow'!$B$12:$Z$12, 10-INT(Assumptions!C24)-1) * $B$8),0)</f>
        <v/>
      </c>
      <c r="K11" s="57">
        <f>IFERROR(IF(11-INT(Assumptions!C24)&lt;2,0,INDEX('Cohort flow'!$B$12:$Z$12, 11-INT(Assumptions!C24)-1) * $B$8),0)</f>
        <v/>
      </c>
      <c r="L11" s="57">
        <f>IFERROR(IF(12-INT(Assumptions!C24)&lt;2,0,INDEX('Cohort flow'!$B$12:$Z$12, 12-INT(Assumptions!C24)-1) * $B$8),0)</f>
        <v/>
      </c>
      <c r="M11" s="57">
        <f>IFERROR(IF(13-INT(Assumptions!C24)&lt;2,0,INDEX('Cohort flow'!$B$12:$Z$12, 13-INT(Assumptions!C24)-1) * $B$8),0)</f>
        <v/>
      </c>
      <c r="N11" s="57">
        <f>IFERROR(IF(14-INT(Assumptions!C24)&lt;2,0,INDEX('Cohort flow'!$B$12:$Z$12, 14-INT(Assumptions!C24)-1) * $B$8),0)</f>
        <v/>
      </c>
      <c r="O11" s="57">
        <f>IFERROR(IF(15-INT(Assumptions!C24)&lt;2,0,INDEX('Cohort flow'!$B$12:$Z$12, 15-INT(Assumptions!C24)-1) * $B$8),0)</f>
        <v/>
      </c>
      <c r="P11" s="57">
        <f>IFERROR(IF(16-INT(Assumptions!C24)&lt;2,0,INDEX('Cohort flow'!$B$12:$Z$12, 16-INT(Assumptions!C24)-1) * $B$8),0)</f>
        <v/>
      </c>
      <c r="Q11" s="57">
        <f>IFERROR(IF(17-INT(Assumptions!C24)&lt;2,0,INDEX('Cohort flow'!$B$12:$Z$12, 17-INT(Assumptions!C24)-1) * $B$8),0)</f>
        <v/>
      </c>
      <c r="R11" s="57">
        <f>IFERROR(IF(18-INT(Assumptions!C24)&lt;2,0,INDEX('Cohort flow'!$B$12:$Z$12, 18-INT(Assumptions!C24)-1) * $B$8),0)</f>
        <v/>
      </c>
      <c r="S11" s="57">
        <f>IFERROR(IF(19-INT(Assumptions!C24)&lt;2,0,INDEX('Cohort flow'!$B$12:$Z$12, 19-INT(Assumptions!C24)-1) * $B$8),0)</f>
        <v/>
      </c>
      <c r="T11" s="57">
        <f>IFERROR(IF(20-INT(Assumptions!C24)&lt;2,0,INDEX('Cohort flow'!$B$12:$Z$12, 20-INT(Assumptions!C24)-1) * $B$8),0)</f>
        <v/>
      </c>
      <c r="U11" s="57">
        <f>IFERROR(IF(21-INT(Assumptions!C24)&lt;2,0,INDEX('Cohort flow'!$B$12:$Z$12, 21-INT(Assumptions!C24)-1) * $B$8),0)</f>
        <v/>
      </c>
      <c r="V11" s="57">
        <f>IFERROR(IF(22-INT(Assumptions!C24)&lt;2,0,INDEX('Cohort flow'!$B$12:$Z$12, 22-INT(Assumptions!C24)-1) * $B$8),0)</f>
        <v/>
      </c>
      <c r="W11" s="57">
        <f>IFERROR(IF(23-INT(Assumptions!C24)&lt;2,0,INDEX('Cohort flow'!$B$12:$Z$12, 23-INT(Assumptions!C24)-1) * $B$8),0)</f>
        <v/>
      </c>
      <c r="X11" s="57">
        <f>IFERROR(IF(24-INT(Assumptions!C24)&lt;2,0,INDEX('Cohort flow'!$B$12:$Z$12, 24-INT(Assumptions!C24)-1) * $B$8),0)</f>
        <v/>
      </c>
      <c r="Y11" s="57">
        <f>IFERROR(IF(25-INT(Assumptions!C24)&lt;2,0,INDEX('Cohort flow'!$B$12:$Z$12, 25-INT(Assumptions!C24)-1) * $B$8),0)</f>
        <v/>
      </c>
      <c r="Z11" s="57">
        <f>IFERROR(IF(26-INT(Assumptions!C24)&lt;2,0,INDEX('Cohort flow'!$B$12:$Z$12, 26-INT(Assumptions!C24)-1) * $B$8),0)</f>
        <v/>
      </c>
    </row>
    <row r="12" ht="15" customHeight="1" s="36">
      <c r="A12" s="59" t="inlineStr">
        <is>
          <t>Option C — IHT receipts (£m per year)</t>
        </is>
      </c>
      <c r="B12" s="57">
        <f>IFERROR(IF(2-INT(Assumptions!C23)&lt;2,0,INDEX('Cohort flow'!$B$13:$Z$13, 2-INT(Assumptions!C23)-1) * $B$7),0)</f>
        <v/>
      </c>
      <c r="C12" s="57">
        <f>IFERROR(IF(3-INT(Assumptions!C23)&lt;2,0,INDEX('Cohort flow'!$B$13:$Z$13, 3-INT(Assumptions!C23)-1) * $B$7),0)</f>
        <v/>
      </c>
      <c r="D12" s="57">
        <f>IFERROR(IF(4-INT(Assumptions!C23)&lt;2,0,INDEX('Cohort flow'!$B$13:$Z$13, 4-INT(Assumptions!C23)-1) * $B$7),0)</f>
        <v/>
      </c>
      <c r="E12" s="57">
        <f>IFERROR(IF(5-INT(Assumptions!C23)&lt;2,0,INDEX('Cohort flow'!$B$13:$Z$13, 5-INT(Assumptions!C23)-1) * $B$7),0)</f>
        <v/>
      </c>
      <c r="F12" s="57">
        <f>IFERROR(IF(6-INT(Assumptions!C23)&lt;2,0,INDEX('Cohort flow'!$B$13:$Z$13, 6-INT(Assumptions!C23)-1) * $B$7),0)</f>
        <v/>
      </c>
      <c r="G12" s="57">
        <f>IFERROR(IF(7-INT(Assumptions!C23)&lt;2,0,INDEX('Cohort flow'!$B$13:$Z$13, 7-INT(Assumptions!C23)-1) * $B$7),0)</f>
        <v/>
      </c>
      <c r="H12" s="57">
        <f>IFERROR(IF(8-INT(Assumptions!C23)&lt;2,0,INDEX('Cohort flow'!$B$13:$Z$13, 8-INT(Assumptions!C23)-1) * $B$7),0)</f>
        <v/>
      </c>
      <c r="I12" s="57">
        <f>IFERROR(IF(9-INT(Assumptions!C23)&lt;2,0,INDEX('Cohort flow'!$B$13:$Z$13, 9-INT(Assumptions!C23)-1) * $B$7),0)</f>
        <v/>
      </c>
      <c r="J12" s="57">
        <f>IFERROR(IF(10-INT(Assumptions!C23)&lt;2,0,INDEX('Cohort flow'!$B$13:$Z$13, 10-INT(Assumptions!C23)-1) * $B$7),0)</f>
        <v/>
      </c>
      <c r="K12" s="57">
        <f>IFERROR(IF(11-INT(Assumptions!C23)&lt;2,0,INDEX('Cohort flow'!$B$13:$Z$13, 11-INT(Assumptions!C23)-1) * $B$7),0)</f>
        <v/>
      </c>
      <c r="L12" s="57">
        <f>IFERROR(IF(12-INT(Assumptions!C23)&lt;2,0,INDEX('Cohort flow'!$B$13:$Z$13, 12-INT(Assumptions!C23)-1) * $B$7),0)</f>
        <v/>
      </c>
      <c r="M12" s="57">
        <f>IFERROR(IF(13-INT(Assumptions!C23)&lt;2,0,INDEX('Cohort flow'!$B$13:$Z$13, 13-INT(Assumptions!C23)-1) * $B$7),0)</f>
        <v/>
      </c>
      <c r="N12" s="57">
        <f>IFERROR(IF(14-INT(Assumptions!C23)&lt;2,0,INDEX('Cohort flow'!$B$13:$Z$13, 14-INT(Assumptions!C23)-1) * $B$7),0)</f>
        <v/>
      </c>
      <c r="O12" s="57">
        <f>IFERROR(IF(15-INT(Assumptions!C23)&lt;2,0,INDEX('Cohort flow'!$B$13:$Z$13, 15-INT(Assumptions!C23)-1) * $B$7),0)</f>
        <v/>
      </c>
      <c r="P12" s="57">
        <f>IFERROR(IF(16-INT(Assumptions!C23)&lt;2,0,INDEX('Cohort flow'!$B$13:$Z$13, 16-INT(Assumptions!C23)-1) * $B$7),0)</f>
        <v/>
      </c>
      <c r="Q12" s="57">
        <f>IFERROR(IF(17-INT(Assumptions!C23)&lt;2,0,INDEX('Cohort flow'!$B$13:$Z$13, 17-INT(Assumptions!C23)-1) * $B$7),0)</f>
        <v/>
      </c>
      <c r="R12" s="57">
        <f>IFERROR(IF(18-INT(Assumptions!C23)&lt;2,0,INDEX('Cohort flow'!$B$13:$Z$13, 18-INT(Assumptions!C23)-1) * $B$7),0)</f>
        <v/>
      </c>
      <c r="S12" s="57">
        <f>IFERROR(IF(19-INT(Assumptions!C23)&lt;2,0,INDEX('Cohort flow'!$B$13:$Z$13, 19-INT(Assumptions!C23)-1) * $B$7),0)</f>
        <v/>
      </c>
      <c r="T12" s="57">
        <f>IFERROR(IF(20-INT(Assumptions!C23)&lt;2,0,INDEX('Cohort flow'!$B$13:$Z$13, 20-INT(Assumptions!C23)-1) * $B$7),0)</f>
        <v/>
      </c>
      <c r="U12" s="57">
        <f>IFERROR(IF(21-INT(Assumptions!C23)&lt;2,0,INDEX('Cohort flow'!$B$13:$Z$13, 21-INT(Assumptions!C23)-1) * $B$7),0)</f>
        <v/>
      </c>
      <c r="V12" s="57">
        <f>IFERROR(IF(22-INT(Assumptions!C23)&lt;2,0,INDEX('Cohort flow'!$B$13:$Z$13, 22-INT(Assumptions!C23)-1) * $B$7),0)</f>
        <v/>
      </c>
      <c r="W12" s="57">
        <f>IFERROR(IF(23-INT(Assumptions!C23)&lt;2,0,INDEX('Cohort flow'!$B$13:$Z$13, 23-INT(Assumptions!C23)-1) * $B$7),0)</f>
        <v/>
      </c>
      <c r="X12" s="57">
        <f>IFERROR(IF(24-INT(Assumptions!C23)&lt;2,0,INDEX('Cohort flow'!$B$13:$Z$13, 24-INT(Assumptions!C23)-1) * $B$7),0)</f>
        <v/>
      </c>
      <c r="Y12" s="57">
        <f>IFERROR(IF(25-INT(Assumptions!C23)&lt;2,0,INDEX('Cohort flow'!$B$13:$Z$13, 25-INT(Assumptions!C23)-1) * $B$7),0)</f>
        <v/>
      </c>
      <c r="Z12" s="57">
        <f>IFERROR(IF(26-INT(Assumptions!C23)&lt;2,0,INDEX('Cohort flow'!$B$13:$Z$13, 26-INT(Assumptions!C23)-1) * $B$7),0)</f>
        <v/>
      </c>
    </row>
    <row r="16" ht="15" customHeight="1" s="36">
      <c r="A16" s="55" t="inlineStr">
        <is>
          <t>CENTRAL CASE</t>
        </is>
      </c>
    </row>
    <row r="17" ht="15" customHeight="1" s="36">
      <c r="A17" s="48" t="inlineStr">
        <is>
          <t>Per-founder IHT collected at death — Options A &amp; C (£m per founder)</t>
        </is>
      </c>
      <c r="B17" s="58">
        <f>MAX(0, (Assumptions!D8 * Assumptions!D22 - 2.5) * Assumptions!D20)</f>
        <v/>
      </c>
    </row>
    <row r="18" ht="15" customHeight="1" s="36">
      <c r="A18" s="48" t="inlineStr">
        <is>
          <t>Per-founder CGT collected at exit — Option B (£m per founder)</t>
        </is>
      </c>
      <c r="B18" s="58">
        <f>Assumptions!D10 * MAX(0, (Assumptions!D9 - Assumptions!D8)) * Assumptions!D22 * Assumptions!D21</f>
        <v/>
      </c>
    </row>
    <row r="20" ht="15" customHeight="1" s="36">
      <c r="A20" s="59" t="inlineStr">
        <is>
          <t>Option A — IHT receipts (£m per year)</t>
        </is>
      </c>
      <c r="B20" s="57">
        <f>IFERROR(IF(2-INT(Assumptions!D23)&lt;2,0,INDEX('Cohort flow'!$B$21:$Z$21, 2-INT(Assumptions!D23)-1) * $B$17),0)</f>
        <v/>
      </c>
      <c r="C20" s="57">
        <f>IFERROR(IF(3-INT(Assumptions!D23)&lt;2,0,INDEX('Cohort flow'!$B$21:$Z$21, 3-INT(Assumptions!D23)-1) * $B$17),0)</f>
        <v/>
      </c>
      <c r="D20" s="57">
        <f>IFERROR(IF(4-INT(Assumptions!D23)&lt;2,0,INDEX('Cohort flow'!$B$21:$Z$21, 4-INT(Assumptions!D23)-1) * $B$17),0)</f>
        <v/>
      </c>
      <c r="E20" s="57">
        <f>IFERROR(IF(5-INT(Assumptions!D23)&lt;2,0,INDEX('Cohort flow'!$B$21:$Z$21, 5-INT(Assumptions!D23)-1) * $B$17),0)</f>
        <v/>
      </c>
      <c r="F20" s="57">
        <f>IFERROR(IF(6-INT(Assumptions!D23)&lt;2,0,INDEX('Cohort flow'!$B$21:$Z$21, 6-INT(Assumptions!D23)-1) * $B$17),0)</f>
        <v/>
      </c>
      <c r="G20" s="57">
        <f>IFERROR(IF(7-INT(Assumptions!D23)&lt;2,0,INDEX('Cohort flow'!$B$21:$Z$21, 7-INT(Assumptions!D23)-1) * $B$17),0)</f>
        <v/>
      </c>
      <c r="H20" s="57">
        <f>IFERROR(IF(8-INT(Assumptions!D23)&lt;2,0,INDEX('Cohort flow'!$B$21:$Z$21, 8-INT(Assumptions!D23)-1) * $B$17),0)</f>
        <v/>
      </c>
      <c r="I20" s="57">
        <f>IFERROR(IF(9-INT(Assumptions!D23)&lt;2,0,INDEX('Cohort flow'!$B$21:$Z$21, 9-INT(Assumptions!D23)-1) * $B$17),0)</f>
        <v/>
      </c>
      <c r="J20" s="57">
        <f>IFERROR(IF(10-INT(Assumptions!D23)&lt;2,0,INDEX('Cohort flow'!$B$21:$Z$21, 10-INT(Assumptions!D23)-1) * $B$17),0)</f>
        <v/>
      </c>
      <c r="K20" s="57">
        <f>IFERROR(IF(11-INT(Assumptions!D23)&lt;2,0,INDEX('Cohort flow'!$B$21:$Z$21, 11-INT(Assumptions!D23)-1) * $B$17),0)</f>
        <v/>
      </c>
      <c r="L20" s="57">
        <f>IFERROR(IF(12-INT(Assumptions!D23)&lt;2,0,INDEX('Cohort flow'!$B$21:$Z$21, 12-INT(Assumptions!D23)-1) * $B$17),0)</f>
        <v/>
      </c>
      <c r="M20" s="57">
        <f>IFERROR(IF(13-INT(Assumptions!D23)&lt;2,0,INDEX('Cohort flow'!$B$21:$Z$21, 13-INT(Assumptions!D23)-1) * $B$17),0)</f>
        <v/>
      </c>
      <c r="N20" s="57">
        <f>IFERROR(IF(14-INT(Assumptions!D23)&lt;2,0,INDEX('Cohort flow'!$B$21:$Z$21, 14-INT(Assumptions!D23)-1) * $B$17),0)</f>
        <v/>
      </c>
      <c r="O20" s="57">
        <f>IFERROR(IF(15-INT(Assumptions!D23)&lt;2,0,INDEX('Cohort flow'!$B$21:$Z$21, 15-INT(Assumptions!D23)-1) * $B$17),0)</f>
        <v/>
      </c>
      <c r="P20" s="57">
        <f>IFERROR(IF(16-INT(Assumptions!D23)&lt;2,0,INDEX('Cohort flow'!$B$21:$Z$21, 16-INT(Assumptions!D23)-1) * $B$17),0)</f>
        <v/>
      </c>
      <c r="Q20" s="57">
        <f>IFERROR(IF(17-INT(Assumptions!D23)&lt;2,0,INDEX('Cohort flow'!$B$21:$Z$21, 17-INT(Assumptions!D23)-1) * $B$17),0)</f>
        <v/>
      </c>
      <c r="R20" s="57">
        <f>IFERROR(IF(18-INT(Assumptions!D23)&lt;2,0,INDEX('Cohort flow'!$B$21:$Z$21, 18-INT(Assumptions!D23)-1) * $B$17),0)</f>
        <v/>
      </c>
      <c r="S20" s="57">
        <f>IFERROR(IF(19-INT(Assumptions!D23)&lt;2,0,INDEX('Cohort flow'!$B$21:$Z$21, 19-INT(Assumptions!D23)-1) * $B$17),0)</f>
        <v/>
      </c>
      <c r="T20" s="57">
        <f>IFERROR(IF(20-INT(Assumptions!D23)&lt;2,0,INDEX('Cohort flow'!$B$21:$Z$21, 20-INT(Assumptions!D23)-1) * $B$17),0)</f>
        <v/>
      </c>
      <c r="U20" s="57">
        <f>IFERROR(IF(21-INT(Assumptions!D23)&lt;2,0,INDEX('Cohort flow'!$B$21:$Z$21, 21-INT(Assumptions!D23)-1) * $B$17),0)</f>
        <v/>
      </c>
      <c r="V20" s="57">
        <f>IFERROR(IF(22-INT(Assumptions!D23)&lt;2,0,INDEX('Cohort flow'!$B$21:$Z$21, 22-INT(Assumptions!D23)-1) * $B$17),0)</f>
        <v/>
      </c>
      <c r="W20" s="57">
        <f>IFERROR(IF(23-INT(Assumptions!D23)&lt;2,0,INDEX('Cohort flow'!$B$21:$Z$21, 23-INT(Assumptions!D23)-1) * $B$17),0)</f>
        <v/>
      </c>
      <c r="X20" s="57">
        <f>IFERROR(IF(24-INT(Assumptions!D23)&lt;2,0,INDEX('Cohort flow'!$B$21:$Z$21, 24-INT(Assumptions!D23)-1) * $B$17),0)</f>
        <v/>
      </c>
      <c r="Y20" s="57">
        <f>IFERROR(IF(25-INT(Assumptions!D23)&lt;2,0,INDEX('Cohort flow'!$B$21:$Z$21, 25-INT(Assumptions!D23)-1) * $B$17),0)</f>
        <v/>
      </c>
      <c r="Z20" s="57">
        <f>IFERROR(IF(26-INT(Assumptions!D23)&lt;2,0,INDEX('Cohort flow'!$B$21:$Z$21, 26-INT(Assumptions!D23)-1) * $B$17),0)</f>
        <v/>
      </c>
    </row>
    <row r="21" ht="15" customHeight="1" s="36">
      <c r="A21" s="59" t="inlineStr">
        <is>
          <t>Option B — CGT receipts (£m per year)</t>
        </is>
      </c>
      <c r="B21" s="57">
        <f>IFERROR(IF(2-INT(Assumptions!D24)&lt;2,0,INDEX('Cohort flow'!$B$22:$Z$22, 2-INT(Assumptions!D24)-1) * $B$18),0)</f>
        <v/>
      </c>
      <c r="C21" s="57">
        <f>IFERROR(IF(3-INT(Assumptions!D24)&lt;2,0,INDEX('Cohort flow'!$B$22:$Z$22, 3-INT(Assumptions!D24)-1) * $B$18),0)</f>
        <v/>
      </c>
      <c r="D21" s="57">
        <f>IFERROR(IF(4-INT(Assumptions!D24)&lt;2,0,INDEX('Cohort flow'!$B$22:$Z$22, 4-INT(Assumptions!D24)-1) * $B$18),0)</f>
        <v/>
      </c>
      <c r="E21" s="57">
        <f>IFERROR(IF(5-INT(Assumptions!D24)&lt;2,0,INDEX('Cohort flow'!$B$22:$Z$22, 5-INT(Assumptions!D24)-1) * $B$18),0)</f>
        <v/>
      </c>
      <c r="F21" s="57">
        <f>IFERROR(IF(6-INT(Assumptions!D24)&lt;2,0,INDEX('Cohort flow'!$B$22:$Z$22, 6-INT(Assumptions!D24)-1) * $B$18),0)</f>
        <v/>
      </c>
      <c r="G21" s="57">
        <f>IFERROR(IF(7-INT(Assumptions!D24)&lt;2,0,INDEX('Cohort flow'!$B$22:$Z$22, 7-INT(Assumptions!D24)-1) * $B$18),0)</f>
        <v/>
      </c>
      <c r="H21" s="57">
        <f>IFERROR(IF(8-INT(Assumptions!D24)&lt;2,0,INDEX('Cohort flow'!$B$22:$Z$22, 8-INT(Assumptions!D24)-1) * $B$18),0)</f>
        <v/>
      </c>
      <c r="I21" s="57">
        <f>IFERROR(IF(9-INT(Assumptions!D24)&lt;2,0,INDEX('Cohort flow'!$B$22:$Z$22, 9-INT(Assumptions!D24)-1) * $B$18),0)</f>
        <v/>
      </c>
      <c r="J21" s="57">
        <f>IFERROR(IF(10-INT(Assumptions!D24)&lt;2,0,INDEX('Cohort flow'!$B$22:$Z$22, 10-INT(Assumptions!D24)-1) * $B$18),0)</f>
        <v/>
      </c>
      <c r="K21" s="57">
        <f>IFERROR(IF(11-INT(Assumptions!D24)&lt;2,0,INDEX('Cohort flow'!$B$22:$Z$22, 11-INT(Assumptions!D24)-1) * $B$18),0)</f>
        <v/>
      </c>
      <c r="L21" s="57">
        <f>IFERROR(IF(12-INT(Assumptions!D24)&lt;2,0,INDEX('Cohort flow'!$B$22:$Z$22, 12-INT(Assumptions!D24)-1) * $B$18),0)</f>
        <v/>
      </c>
      <c r="M21" s="57">
        <f>IFERROR(IF(13-INT(Assumptions!D24)&lt;2,0,INDEX('Cohort flow'!$B$22:$Z$22, 13-INT(Assumptions!D24)-1) * $B$18),0)</f>
        <v/>
      </c>
      <c r="N21" s="57">
        <f>IFERROR(IF(14-INT(Assumptions!D24)&lt;2,0,INDEX('Cohort flow'!$B$22:$Z$22, 14-INT(Assumptions!D24)-1) * $B$18),0)</f>
        <v/>
      </c>
      <c r="O21" s="57">
        <f>IFERROR(IF(15-INT(Assumptions!D24)&lt;2,0,INDEX('Cohort flow'!$B$22:$Z$22, 15-INT(Assumptions!D24)-1) * $B$18),0)</f>
        <v/>
      </c>
      <c r="P21" s="57">
        <f>IFERROR(IF(16-INT(Assumptions!D24)&lt;2,0,INDEX('Cohort flow'!$B$22:$Z$22, 16-INT(Assumptions!D24)-1) * $B$18),0)</f>
        <v/>
      </c>
      <c r="Q21" s="57">
        <f>IFERROR(IF(17-INT(Assumptions!D24)&lt;2,0,INDEX('Cohort flow'!$B$22:$Z$22, 17-INT(Assumptions!D24)-1) * $B$18),0)</f>
        <v/>
      </c>
      <c r="R21" s="57">
        <f>IFERROR(IF(18-INT(Assumptions!D24)&lt;2,0,INDEX('Cohort flow'!$B$22:$Z$22, 18-INT(Assumptions!D24)-1) * $B$18),0)</f>
        <v/>
      </c>
      <c r="S21" s="57">
        <f>IFERROR(IF(19-INT(Assumptions!D24)&lt;2,0,INDEX('Cohort flow'!$B$22:$Z$22, 19-INT(Assumptions!D24)-1) * $B$18),0)</f>
        <v/>
      </c>
      <c r="T21" s="57">
        <f>IFERROR(IF(20-INT(Assumptions!D24)&lt;2,0,INDEX('Cohort flow'!$B$22:$Z$22, 20-INT(Assumptions!D24)-1) * $B$18),0)</f>
        <v/>
      </c>
      <c r="U21" s="57">
        <f>IFERROR(IF(21-INT(Assumptions!D24)&lt;2,0,INDEX('Cohort flow'!$B$22:$Z$22, 21-INT(Assumptions!D24)-1) * $B$18),0)</f>
        <v/>
      </c>
      <c r="V21" s="57">
        <f>IFERROR(IF(22-INT(Assumptions!D24)&lt;2,0,INDEX('Cohort flow'!$B$22:$Z$22, 22-INT(Assumptions!D24)-1) * $B$18),0)</f>
        <v/>
      </c>
      <c r="W21" s="57">
        <f>IFERROR(IF(23-INT(Assumptions!D24)&lt;2,0,INDEX('Cohort flow'!$B$22:$Z$22, 23-INT(Assumptions!D24)-1) * $B$18),0)</f>
        <v/>
      </c>
      <c r="X21" s="57">
        <f>IFERROR(IF(24-INT(Assumptions!D24)&lt;2,0,INDEX('Cohort flow'!$B$22:$Z$22, 24-INT(Assumptions!D24)-1) * $B$18),0)</f>
        <v/>
      </c>
      <c r="Y21" s="57">
        <f>IFERROR(IF(25-INT(Assumptions!D24)&lt;2,0,INDEX('Cohort flow'!$B$22:$Z$22, 25-INT(Assumptions!D24)-1) * $B$18),0)</f>
        <v/>
      </c>
      <c r="Z21" s="57">
        <f>IFERROR(IF(26-INT(Assumptions!D24)&lt;2,0,INDEX('Cohort flow'!$B$22:$Z$22, 26-INT(Assumptions!D24)-1) * $B$18),0)</f>
        <v/>
      </c>
    </row>
    <row r="22" ht="15" customHeight="1" s="36">
      <c r="A22" s="59" t="inlineStr">
        <is>
          <t>Option C — IHT receipts (£m per year)</t>
        </is>
      </c>
      <c r="B22" s="57">
        <f>IFERROR(IF(2-INT(Assumptions!D23)&lt;2,0,INDEX('Cohort flow'!$B$23:$Z$23, 2-INT(Assumptions!D23)-1) * $B$17),0)</f>
        <v/>
      </c>
      <c r="C22" s="57">
        <f>IFERROR(IF(3-INT(Assumptions!D23)&lt;2,0,INDEX('Cohort flow'!$B$23:$Z$23, 3-INT(Assumptions!D23)-1) * $B$17),0)</f>
        <v/>
      </c>
      <c r="D22" s="57">
        <f>IFERROR(IF(4-INT(Assumptions!D23)&lt;2,0,INDEX('Cohort flow'!$B$23:$Z$23, 4-INT(Assumptions!D23)-1) * $B$17),0)</f>
        <v/>
      </c>
      <c r="E22" s="57">
        <f>IFERROR(IF(5-INT(Assumptions!D23)&lt;2,0,INDEX('Cohort flow'!$B$23:$Z$23, 5-INT(Assumptions!D23)-1) * $B$17),0)</f>
        <v/>
      </c>
      <c r="F22" s="57">
        <f>IFERROR(IF(6-INT(Assumptions!D23)&lt;2,0,INDEX('Cohort flow'!$B$23:$Z$23, 6-INT(Assumptions!D23)-1) * $B$17),0)</f>
        <v/>
      </c>
      <c r="G22" s="57">
        <f>IFERROR(IF(7-INT(Assumptions!D23)&lt;2,0,INDEX('Cohort flow'!$B$23:$Z$23, 7-INT(Assumptions!D23)-1) * $B$17),0)</f>
        <v/>
      </c>
      <c r="H22" s="57">
        <f>IFERROR(IF(8-INT(Assumptions!D23)&lt;2,0,INDEX('Cohort flow'!$B$23:$Z$23, 8-INT(Assumptions!D23)-1) * $B$17),0)</f>
        <v/>
      </c>
      <c r="I22" s="57">
        <f>IFERROR(IF(9-INT(Assumptions!D23)&lt;2,0,INDEX('Cohort flow'!$B$23:$Z$23, 9-INT(Assumptions!D23)-1) * $B$17),0)</f>
        <v/>
      </c>
      <c r="J22" s="57">
        <f>IFERROR(IF(10-INT(Assumptions!D23)&lt;2,0,INDEX('Cohort flow'!$B$23:$Z$23, 10-INT(Assumptions!D23)-1) * $B$17),0)</f>
        <v/>
      </c>
      <c r="K22" s="57">
        <f>IFERROR(IF(11-INT(Assumptions!D23)&lt;2,0,INDEX('Cohort flow'!$B$23:$Z$23, 11-INT(Assumptions!D23)-1) * $B$17),0)</f>
        <v/>
      </c>
      <c r="L22" s="57">
        <f>IFERROR(IF(12-INT(Assumptions!D23)&lt;2,0,INDEX('Cohort flow'!$B$23:$Z$23, 12-INT(Assumptions!D23)-1) * $B$17),0)</f>
        <v/>
      </c>
      <c r="M22" s="57">
        <f>IFERROR(IF(13-INT(Assumptions!D23)&lt;2,0,INDEX('Cohort flow'!$B$23:$Z$23, 13-INT(Assumptions!D23)-1) * $B$17),0)</f>
        <v/>
      </c>
      <c r="N22" s="57">
        <f>IFERROR(IF(14-INT(Assumptions!D23)&lt;2,0,INDEX('Cohort flow'!$B$23:$Z$23, 14-INT(Assumptions!D23)-1) * $B$17),0)</f>
        <v/>
      </c>
      <c r="O22" s="57">
        <f>IFERROR(IF(15-INT(Assumptions!D23)&lt;2,0,INDEX('Cohort flow'!$B$23:$Z$23, 15-INT(Assumptions!D23)-1) * $B$17),0)</f>
        <v/>
      </c>
      <c r="P22" s="57">
        <f>IFERROR(IF(16-INT(Assumptions!D23)&lt;2,0,INDEX('Cohort flow'!$B$23:$Z$23, 16-INT(Assumptions!D23)-1) * $B$17),0)</f>
        <v/>
      </c>
      <c r="Q22" s="57">
        <f>IFERROR(IF(17-INT(Assumptions!D23)&lt;2,0,INDEX('Cohort flow'!$B$23:$Z$23, 17-INT(Assumptions!D23)-1) * $B$17),0)</f>
        <v/>
      </c>
      <c r="R22" s="57">
        <f>IFERROR(IF(18-INT(Assumptions!D23)&lt;2,0,INDEX('Cohort flow'!$B$23:$Z$23, 18-INT(Assumptions!D23)-1) * $B$17),0)</f>
        <v/>
      </c>
      <c r="S22" s="57">
        <f>IFERROR(IF(19-INT(Assumptions!D23)&lt;2,0,INDEX('Cohort flow'!$B$23:$Z$23, 19-INT(Assumptions!D23)-1) * $B$17),0)</f>
        <v/>
      </c>
      <c r="T22" s="57">
        <f>IFERROR(IF(20-INT(Assumptions!D23)&lt;2,0,INDEX('Cohort flow'!$B$23:$Z$23, 20-INT(Assumptions!D23)-1) * $B$17),0)</f>
        <v/>
      </c>
      <c r="U22" s="57">
        <f>IFERROR(IF(21-INT(Assumptions!D23)&lt;2,0,INDEX('Cohort flow'!$B$23:$Z$23, 21-INT(Assumptions!D23)-1) * $B$17),0)</f>
        <v/>
      </c>
      <c r="V22" s="57">
        <f>IFERROR(IF(22-INT(Assumptions!D23)&lt;2,0,INDEX('Cohort flow'!$B$23:$Z$23, 22-INT(Assumptions!D23)-1) * $B$17),0)</f>
        <v/>
      </c>
      <c r="W22" s="57">
        <f>IFERROR(IF(23-INT(Assumptions!D23)&lt;2,0,INDEX('Cohort flow'!$B$23:$Z$23, 23-INT(Assumptions!D23)-1) * $B$17),0)</f>
        <v/>
      </c>
      <c r="X22" s="57">
        <f>IFERROR(IF(24-INT(Assumptions!D23)&lt;2,0,INDEX('Cohort flow'!$B$23:$Z$23, 24-INT(Assumptions!D23)-1) * $B$17),0)</f>
        <v/>
      </c>
      <c r="Y22" s="57">
        <f>IFERROR(IF(25-INT(Assumptions!D23)&lt;2,0,INDEX('Cohort flow'!$B$23:$Z$23, 25-INT(Assumptions!D23)-1) * $B$17),0)</f>
        <v/>
      </c>
      <c r="Z22" s="57">
        <f>IFERROR(IF(26-INT(Assumptions!D23)&lt;2,0,INDEX('Cohort flow'!$B$23:$Z$23, 26-INT(Assumptions!D23)-1) * $B$17),0)</f>
        <v/>
      </c>
    </row>
    <row r="26" ht="15" customHeight="1" s="36">
      <c r="A26" s="55" t="inlineStr">
        <is>
          <t>WORST CASE</t>
        </is>
      </c>
    </row>
    <row r="27" ht="15" customHeight="1" s="36">
      <c r="A27" s="48" t="inlineStr">
        <is>
          <t>Per-founder IHT collected at death — Options A &amp; C (£m per founder)</t>
        </is>
      </c>
      <c r="B27" s="58">
        <f>MAX(0, (Assumptions!E8 * Assumptions!E22 - 2.5) * Assumptions!E20)</f>
        <v/>
      </c>
    </row>
    <row r="28" ht="15" customHeight="1" s="36">
      <c r="A28" s="48" t="inlineStr">
        <is>
          <t>Per-founder CGT collected at exit — Option B (£m per founder)</t>
        </is>
      </c>
      <c r="B28" s="58">
        <f>Assumptions!E10 * MAX(0, (Assumptions!E9 - Assumptions!E8)) * Assumptions!E22 * Assumptions!E21</f>
        <v/>
      </c>
    </row>
    <row r="30" ht="15" customHeight="1" s="36">
      <c r="A30" s="59" t="inlineStr">
        <is>
          <t>Option A — IHT receipts (£m per year)</t>
        </is>
      </c>
      <c r="B30" s="57">
        <f>IFERROR(IF(2-INT(Assumptions!E23)&lt;2,0,INDEX('Cohort flow'!$B$31:$Z$31, 2-INT(Assumptions!E23)-1) * $B$27),0)</f>
        <v/>
      </c>
      <c r="C30" s="57">
        <f>IFERROR(IF(3-INT(Assumptions!E23)&lt;2,0,INDEX('Cohort flow'!$B$31:$Z$31, 3-INT(Assumptions!E23)-1) * $B$27),0)</f>
        <v/>
      </c>
      <c r="D30" s="57">
        <f>IFERROR(IF(4-INT(Assumptions!E23)&lt;2,0,INDEX('Cohort flow'!$B$31:$Z$31, 4-INT(Assumptions!E23)-1) * $B$27),0)</f>
        <v/>
      </c>
      <c r="E30" s="57">
        <f>IFERROR(IF(5-INT(Assumptions!E23)&lt;2,0,INDEX('Cohort flow'!$B$31:$Z$31, 5-INT(Assumptions!E23)-1) * $B$27),0)</f>
        <v/>
      </c>
      <c r="F30" s="57">
        <f>IFERROR(IF(6-INT(Assumptions!E23)&lt;2,0,INDEX('Cohort flow'!$B$31:$Z$31, 6-INT(Assumptions!E23)-1) * $B$27),0)</f>
        <v/>
      </c>
      <c r="G30" s="57">
        <f>IFERROR(IF(7-INT(Assumptions!E23)&lt;2,0,INDEX('Cohort flow'!$B$31:$Z$31, 7-INT(Assumptions!E23)-1) * $B$27),0)</f>
        <v/>
      </c>
      <c r="H30" s="57">
        <f>IFERROR(IF(8-INT(Assumptions!E23)&lt;2,0,INDEX('Cohort flow'!$B$31:$Z$31, 8-INT(Assumptions!E23)-1) * $B$27),0)</f>
        <v/>
      </c>
      <c r="I30" s="57">
        <f>IFERROR(IF(9-INT(Assumptions!E23)&lt;2,0,INDEX('Cohort flow'!$B$31:$Z$31, 9-INT(Assumptions!E23)-1) * $B$27),0)</f>
        <v/>
      </c>
      <c r="J30" s="57">
        <f>IFERROR(IF(10-INT(Assumptions!E23)&lt;2,0,INDEX('Cohort flow'!$B$31:$Z$31, 10-INT(Assumptions!E23)-1) * $B$27),0)</f>
        <v/>
      </c>
      <c r="K30" s="57">
        <f>IFERROR(IF(11-INT(Assumptions!E23)&lt;2,0,INDEX('Cohort flow'!$B$31:$Z$31, 11-INT(Assumptions!E23)-1) * $B$27),0)</f>
        <v/>
      </c>
      <c r="L30" s="57">
        <f>IFERROR(IF(12-INT(Assumptions!E23)&lt;2,0,INDEX('Cohort flow'!$B$31:$Z$31, 12-INT(Assumptions!E23)-1) * $B$27),0)</f>
        <v/>
      </c>
      <c r="M30" s="57">
        <f>IFERROR(IF(13-INT(Assumptions!E23)&lt;2,0,INDEX('Cohort flow'!$B$31:$Z$31, 13-INT(Assumptions!E23)-1) * $B$27),0)</f>
        <v/>
      </c>
      <c r="N30" s="57">
        <f>IFERROR(IF(14-INT(Assumptions!E23)&lt;2,0,INDEX('Cohort flow'!$B$31:$Z$31, 14-INT(Assumptions!E23)-1) * $B$27),0)</f>
        <v/>
      </c>
      <c r="O30" s="57">
        <f>IFERROR(IF(15-INT(Assumptions!E23)&lt;2,0,INDEX('Cohort flow'!$B$31:$Z$31, 15-INT(Assumptions!E23)-1) * $B$27),0)</f>
        <v/>
      </c>
      <c r="P30" s="57">
        <f>IFERROR(IF(16-INT(Assumptions!E23)&lt;2,0,INDEX('Cohort flow'!$B$31:$Z$31, 16-INT(Assumptions!E23)-1) * $B$27),0)</f>
        <v/>
      </c>
      <c r="Q30" s="57">
        <f>IFERROR(IF(17-INT(Assumptions!E23)&lt;2,0,INDEX('Cohort flow'!$B$31:$Z$31, 17-INT(Assumptions!E23)-1) * $B$27),0)</f>
        <v/>
      </c>
      <c r="R30" s="57">
        <f>IFERROR(IF(18-INT(Assumptions!E23)&lt;2,0,INDEX('Cohort flow'!$B$31:$Z$31, 18-INT(Assumptions!E23)-1) * $B$27),0)</f>
        <v/>
      </c>
      <c r="S30" s="57">
        <f>IFERROR(IF(19-INT(Assumptions!E23)&lt;2,0,INDEX('Cohort flow'!$B$31:$Z$31, 19-INT(Assumptions!E23)-1) * $B$27),0)</f>
        <v/>
      </c>
      <c r="T30" s="57">
        <f>IFERROR(IF(20-INT(Assumptions!E23)&lt;2,0,INDEX('Cohort flow'!$B$31:$Z$31, 20-INT(Assumptions!E23)-1) * $B$27),0)</f>
        <v/>
      </c>
      <c r="U30" s="57">
        <f>IFERROR(IF(21-INT(Assumptions!E23)&lt;2,0,INDEX('Cohort flow'!$B$31:$Z$31, 21-INT(Assumptions!E23)-1) * $B$27),0)</f>
        <v/>
      </c>
      <c r="V30" s="57">
        <f>IFERROR(IF(22-INT(Assumptions!E23)&lt;2,0,INDEX('Cohort flow'!$B$31:$Z$31, 22-INT(Assumptions!E23)-1) * $B$27),0)</f>
        <v/>
      </c>
      <c r="W30" s="57">
        <f>IFERROR(IF(23-INT(Assumptions!E23)&lt;2,0,INDEX('Cohort flow'!$B$31:$Z$31, 23-INT(Assumptions!E23)-1) * $B$27),0)</f>
        <v/>
      </c>
      <c r="X30" s="57">
        <f>IFERROR(IF(24-INT(Assumptions!E23)&lt;2,0,INDEX('Cohort flow'!$B$31:$Z$31, 24-INT(Assumptions!E23)-1) * $B$27),0)</f>
        <v/>
      </c>
      <c r="Y30" s="57">
        <f>IFERROR(IF(25-INT(Assumptions!E23)&lt;2,0,INDEX('Cohort flow'!$B$31:$Z$31, 25-INT(Assumptions!E23)-1) * $B$27),0)</f>
        <v/>
      </c>
      <c r="Z30" s="57">
        <f>IFERROR(IF(26-INT(Assumptions!E23)&lt;2,0,INDEX('Cohort flow'!$B$31:$Z$31, 26-INT(Assumptions!E23)-1) * $B$27),0)</f>
        <v/>
      </c>
    </row>
    <row r="31" ht="15" customHeight="1" s="36">
      <c r="A31" s="59" t="inlineStr">
        <is>
          <t>Option B — CGT receipts (£m per year)</t>
        </is>
      </c>
      <c r="B31" s="57">
        <f>IFERROR(IF(2-INT(Assumptions!E24)&lt;2,0,INDEX('Cohort flow'!$B$32:$Z$32, 2-INT(Assumptions!E24)-1) * $B$28),0)</f>
        <v/>
      </c>
      <c r="C31" s="57">
        <f>IFERROR(IF(3-INT(Assumptions!E24)&lt;2,0,INDEX('Cohort flow'!$B$32:$Z$32, 3-INT(Assumptions!E24)-1) * $B$28),0)</f>
        <v/>
      </c>
      <c r="D31" s="57">
        <f>IFERROR(IF(4-INT(Assumptions!E24)&lt;2,0,INDEX('Cohort flow'!$B$32:$Z$32, 4-INT(Assumptions!E24)-1) * $B$28),0)</f>
        <v/>
      </c>
      <c r="E31" s="57">
        <f>IFERROR(IF(5-INT(Assumptions!E24)&lt;2,0,INDEX('Cohort flow'!$B$32:$Z$32, 5-INT(Assumptions!E24)-1) * $B$28),0)</f>
        <v/>
      </c>
      <c r="F31" s="57">
        <f>IFERROR(IF(6-INT(Assumptions!E24)&lt;2,0,INDEX('Cohort flow'!$B$32:$Z$32, 6-INT(Assumptions!E24)-1) * $B$28),0)</f>
        <v/>
      </c>
      <c r="G31" s="57">
        <f>IFERROR(IF(7-INT(Assumptions!E24)&lt;2,0,INDEX('Cohort flow'!$B$32:$Z$32, 7-INT(Assumptions!E24)-1) * $B$28),0)</f>
        <v/>
      </c>
      <c r="H31" s="57">
        <f>IFERROR(IF(8-INT(Assumptions!E24)&lt;2,0,INDEX('Cohort flow'!$B$32:$Z$32, 8-INT(Assumptions!E24)-1) * $B$28),0)</f>
        <v/>
      </c>
      <c r="I31" s="57">
        <f>IFERROR(IF(9-INT(Assumptions!E24)&lt;2,0,INDEX('Cohort flow'!$B$32:$Z$32, 9-INT(Assumptions!E24)-1) * $B$28),0)</f>
        <v/>
      </c>
      <c r="J31" s="57">
        <f>IFERROR(IF(10-INT(Assumptions!E24)&lt;2,0,INDEX('Cohort flow'!$B$32:$Z$32, 10-INT(Assumptions!E24)-1) * $B$28),0)</f>
        <v/>
      </c>
      <c r="K31" s="57">
        <f>IFERROR(IF(11-INT(Assumptions!E24)&lt;2,0,INDEX('Cohort flow'!$B$32:$Z$32, 11-INT(Assumptions!E24)-1) * $B$28),0)</f>
        <v/>
      </c>
      <c r="L31" s="57">
        <f>IFERROR(IF(12-INT(Assumptions!E24)&lt;2,0,INDEX('Cohort flow'!$B$32:$Z$32, 12-INT(Assumptions!E24)-1) * $B$28),0)</f>
        <v/>
      </c>
      <c r="M31" s="57">
        <f>IFERROR(IF(13-INT(Assumptions!E24)&lt;2,0,INDEX('Cohort flow'!$B$32:$Z$32, 13-INT(Assumptions!E24)-1) * $B$28),0)</f>
        <v/>
      </c>
      <c r="N31" s="57">
        <f>IFERROR(IF(14-INT(Assumptions!E24)&lt;2,0,INDEX('Cohort flow'!$B$32:$Z$32, 14-INT(Assumptions!E24)-1) * $B$28),0)</f>
        <v/>
      </c>
      <c r="O31" s="57">
        <f>IFERROR(IF(15-INT(Assumptions!E24)&lt;2,0,INDEX('Cohort flow'!$B$32:$Z$32, 15-INT(Assumptions!E24)-1) * $B$28),0)</f>
        <v/>
      </c>
      <c r="P31" s="57">
        <f>IFERROR(IF(16-INT(Assumptions!E24)&lt;2,0,INDEX('Cohort flow'!$B$32:$Z$32, 16-INT(Assumptions!E24)-1) * $B$28),0)</f>
        <v/>
      </c>
      <c r="Q31" s="57">
        <f>IFERROR(IF(17-INT(Assumptions!E24)&lt;2,0,INDEX('Cohort flow'!$B$32:$Z$32, 17-INT(Assumptions!E24)-1) * $B$28),0)</f>
        <v/>
      </c>
      <c r="R31" s="57">
        <f>IFERROR(IF(18-INT(Assumptions!E24)&lt;2,0,INDEX('Cohort flow'!$B$32:$Z$32, 18-INT(Assumptions!E24)-1) * $B$28),0)</f>
        <v/>
      </c>
      <c r="S31" s="57">
        <f>IFERROR(IF(19-INT(Assumptions!E24)&lt;2,0,INDEX('Cohort flow'!$B$32:$Z$32, 19-INT(Assumptions!E24)-1) * $B$28),0)</f>
        <v/>
      </c>
      <c r="T31" s="57">
        <f>IFERROR(IF(20-INT(Assumptions!E24)&lt;2,0,INDEX('Cohort flow'!$B$32:$Z$32, 20-INT(Assumptions!E24)-1) * $B$28),0)</f>
        <v/>
      </c>
      <c r="U31" s="57">
        <f>IFERROR(IF(21-INT(Assumptions!E24)&lt;2,0,INDEX('Cohort flow'!$B$32:$Z$32, 21-INT(Assumptions!E24)-1) * $B$28),0)</f>
        <v/>
      </c>
      <c r="V31" s="57">
        <f>IFERROR(IF(22-INT(Assumptions!E24)&lt;2,0,INDEX('Cohort flow'!$B$32:$Z$32, 22-INT(Assumptions!E24)-1) * $B$28),0)</f>
        <v/>
      </c>
      <c r="W31" s="57">
        <f>IFERROR(IF(23-INT(Assumptions!E24)&lt;2,0,INDEX('Cohort flow'!$B$32:$Z$32, 23-INT(Assumptions!E24)-1) * $B$28),0)</f>
        <v/>
      </c>
      <c r="X31" s="57">
        <f>IFERROR(IF(24-INT(Assumptions!E24)&lt;2,0,INDEX('Cohort flow'!$B$32:$Z$32, 24-INT(Assumptions!E24)-1) * $B$28),0)</f>
        <v/>
      </c>
      <c r="Y31" s="57">
        <f>IFERROR(IF(25-INT(Assumptions!E24)&lt;2,0,INDEX('Cohort flow'!$B$32:$Z$32, 25-INT(Assumptions!E24)-1) * $B$28),0)</f>
        <v/>
      </c>
      <c r="Z31" s="57">
        <f>IFERROR(IF(26-INT(Assumptions!E24)&lt;2,0,INDEX('Cohort flow'!$B$32:$Z$32, 26-INT(Assumptions!E24)-1) * $B$28),0)</f>
        <v/>
      </c>
    </row>
    <row r="32" ht="15" customHeight="1" s="36">
      <c r="A32" s="59" t="inlineStr">
        <is>
          <t>Option C — IHT receipts (£m per year)</t>
        </is>
      </c>
      <c r="B32" s="57">
        <f>IFERROR(IF(2-INT(Assumptions!E23)&lt;2,0,INDEX('Cohort flow'!$B$33:$Z$33, 2-INT(Assumptions!E23)-1) * $B$27),0)</f>
        <v/>
      </c>
      <c r="C32" s="57">
        <f>IFERROR(IF(3-INT(Assumptions!E23)&lt;2,0,INDEX('Cohort flow'!$B$33:$Z$33, 3-INT(Assumptions!E23)-1) * $B$27),0)</f>
        <v/>
      </c>
      <c r="D32" s="57">
        <f>IFERROR(IF(4-INT(Assumptions!E23)&lt;2,0,INDEX('Cohort flow'!$B$33:$Z$33, 4-INT(Assumptions!E23)-1) * $B$27),0)</f>
        <v/>
      </c>
      <c r="E32" s="57">
        <f>IFERROR(IF(5-INT(Assumptions!E23)&lt;2,0,INDEX('Cohort flow'!$B$33:$Z$33, 5-INT(Assumptions!E23)-1) * $B$27),0)</f>
        <v/>
      </c>
      <c r="F32" s="57">
        <f>IFERROR(IF(6-INT(Assumptions!E23)&lt;2,0,INDEX('Cohort flow'!$B$33:$Z$33, 6-INT(Assumptions!E23)-1) * $B$27),0)</f>
        <v/>
      </c>
      <c r="G32" s="57">
        <f>IFERROR(IF(7-INT(Assumptions!E23)&lt;2,0,INDEX('Cohort flow'!$B$33:$Z$33, 7-INT(Assumptions!E23)-1) * $B$27),0)</f>
        <v/>
      </c>
      <c r="H32" s="57">
        <f>IFERROR(IF(8-INT(Assumptions!E23)&lt;2,0,INDEX('Cohort flow'!$B$33:$Z$33, 8-INT(Assumptions!E23)-1) * $B$27),0)</f>
        <v/>
      </c>
      <c r="I32" s="57">
        <f>IFERROR(IF(9-INT(Assumptions!E23)&lt;2,0,INDEX('Cohort flow'!$B$33:$Z$33, 9-INT(Assumptions!E23)-1) * $B$27),0)</f>
        <v/>
      </c>
      <c r="J32" s="57">
        <f>IFERROR(IF(10-INT(Assumptions!E23)&lt;2,0,INDEX('Cohort flow'!$B$33:$Z$33, 10-INT(Assumptions!E23)-1) * $B$27),0)</f>
        <v/>
      </c>
      <c r="K32" s="57">
        <f>IFERROR(IF(11-INT(Assumptions!E23)&lt;2,0,INDEX('Cohort flow'!$B$33:$Z$33, 11-INT(Assumptions!E23)-1) * $B$27),0)</f>
        <v/>
      </c>
      <c r="L32" s="57">
        <f>IFERROR(IF(12-INT(Assumptions!E23)&lt;2,0,INDEX('Cohort flow'!$B$33:$Z$33, 12-INT(Assumptions!E23)-1) * $B$27),0)</f>
        <v/>
      </c>
      <c r="M32" s="57">
        <f>IFERROR(IF(13-INT(Assumptions!E23)&lt;2,0,INDEX('Cohort flow'!$B$33:$Z$33, 13-INT(Assumptions!E23)-1) * $B$27),0)</f>
        <v/>
      </c>
      <c r="N32" s="57">
        <f>IFERROR(IF(14-INT(Assumptions!E23)&lt;2,0,INDEX('Cohort flow'!$B$33:$Z$33, 14-INT(Assumptions!E23)-1) * $B$27),0)</f>
        <v/>
      </c>
      <c r="O32" s="57">
        <f>IFERROR(IF(15-INT(Assumptions!E23)&lt;2,0,INDEX('Cohort flow'!$B$33:$Z$33, 15-INT(Assumptions!E23)-1) * $B$27),0)</f>
        <v/>
      </c>
      <c r="P32" s="57">
        <f>IFERROR(IF(16-INT(Assumptions!E23)&lt;2,0,INDEX('Cohort flow'!$B$33:$Z$33, 16-INT(Assumptions!E23)-1) * $B$27),0)</f>
        <v/>
      </c>
      <c r="Q32" s="57">
        <f>IFERROR(IF(17-INT(Assumptions!E23)&lt;2,0,INDEX('Cohort flow'!$B$33:$Z$33, 17-INT(Assumptions!E23)-1) * $B$27),0)</f>
        <v/>
      </c>
      <c r="R32" s="57">
        <f>IFERROR(IF(18-INT(Assumptions!E23)&lt;2,0,INDEX('Cohort flow'!$B$33:$Z$33, 18-INT(Assumptions!E23)-1) * $B$27),0)</f>
        <v/>
      </c>
      <c r="S32" s="57">
        <f>IFERROR(IF(19-INT(Assumptions!E23)&lt;2,0,INDEX('Cohort flow'!$B$33:$Z$33, 19-INT(Assumptions!E23)-1) * $B$27),0)</f>
        <v/>
      </c>
      <c r="T32" s="57">
        <f>IFERROR(IF(20-INT(Assumptions!E23)&lt;2,0,INDEX('Cohort flow'!$B$33:$Z$33, 20-INT(Assumptions!E23)-1) * $B$27),0)</f>
        <v/>
      </c>
      <c r="U32" s="57">
        <f>IFERROR(IF(21-INT(Assumptions!E23)&lt;2,0,INDEX('Cohort flow'!$B$33:$Z$33, 21-INT(Assumptions!E23)-1) * $B$27),0)</f>
        <v/>
      </c>
      <c r="V32" s="57">
        <f>IFERROR(IF(22-INT(Assumptions!E23)&lt;2,0,INDEX('Cohort flow'!$B$33:$Z$33, 22-INT(Assumptions!E23)-1) * $B$27),0)</f>
        <v/>
      </c>
      <c r="W32" s="57">
        <f>IFERROR(IF(23-INT(Assumptions!E23)&lt;2,0,INDEX('Cohort flow'!$B$33:$Z$33, 23-INT(Assumptions!E23)-1) * $B$27),0)</f>
        <v/>
      </c>
      <c r="X32" s="57">
        <f>IFERROR(IF(24-INT(Assumptions!E23)&lt;2,0,INDEX('Cohort flow'!$B$33:$Z$33, 24-INT(Assumptions!E23)-1) * $B$27),0)</f>
        <v/>
      </c>
      <c r="Y32" s="57">
        <f>IFERROR(IF(25-INT(Assumptions!E23)&lt;2,0,INDEX('Cohort flow'!$B$33:$Z$33, 25-INT(Assumptions!E23)-1) * $B$27),0)</f>
        <v/>
      </c>
      <c r="Z32" s="57">
        <f>IFERROR(IF(26-INT(Assumptions!E23)&lt;2,0,INDEX('Cohort flow'!$B$33:$Z$33, 26-INT(Assumptions!E23)-1) * $B$27),0)</f>
        <v/>
      </c>
    </row>
  </sheetData>
  <mergeCells count="2">
    <mergeCell ref="A1:Z1"/>
    <mergeCell ref="A2:Z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F42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60" customWidth="1" style="35" min="1" max="1"/>
    <col width="14" customWidth="1" style="35" min="2" max="2"/>
  </cols>
  <sheetData>
    <row r="1" ht="17.35" customHeight="1" s="36">
      <c r="A1" s="43" t="inlineStr">
        <is>
          <t>INDIRECT FISCAL — corporation tax, employment tax, VAT, next-company effect</t>
        </is>
      </c>
    </row>
    <row r="2" ht="15" customHeight="1" s="36">
      <c r="A2" s="39" t="inlineStr">
        <is>
          <t>Tax base from companies the cohort builds and operates (current company + next company)</t>
        </is>
      </c>
    </row>
    <row r="6" ht="15" customHeight="1" s="36">
      <c r="A6" s="55" t="inlineStr">
        <is>
          <t>BEST CASE</t>
        </is>
      </c>
    </row>
    <row r="7" ht="15" customHeight="1" s="36">
      <c r="A7" s="48" t="inlineStr">
        <is>
          <t>Per-founder company annual tax base at cohort entry (£m, UK-resident)</t>
        </is>
      </c>
      <c r="B7" s="60">
        <f>Assumptions!C28 * Assumptions!C32 * Assumptions!C31 + Assumptions!C28 * Assumptions!C33 / 1000 + Assumptions!C28 * Assumptions!C34 / 1000</f>
        <v/>
      </c>
    </row>
    <row r="8" ht="15" customHeight="1" s="36">
      <c r="A8" s="48" t="inlineStr">
        <is>
          <t>Per-founder lifetime company tax base (£m, simplified linear)</t>
        </is>
      </c>
      <c r="B8" s="58">
        <f>$B$7 * Assumptions!C30 * 2</f>
        <v/>
      </c>
    </row>
    <row r="9" ht="15" customHeight="1" s="36">
      <c r="A9" s="48" t="inlineStr">
        <is>
          <t>Per-founder lifetime company tax base if founder relocates (£m)</t>
        </is>
      </c>
      <c r="B9" s="58">
        <f>$B$8 * (1 - Assumptions!C38)</f>
        <v/>
      </c>
    </row>
    <row r="10" ht="15" customHeight="1" s="36">
      <c r="A10" s="48" t="inlineStr">
        <is>
          <t>Loss per departed founder — current company (£m)</t>
        </is>
      </c>
      <c r="B10" s="58">
        <f>$B$8 - $B$9</f>
        <v/>
      </c>
    </row>
    <row r="11" ht="15" customHeight="1" s="36">
      <c r="A11" s="48" t="inlineStr">
        <is>
          <t>Per-founder expected next-company tax base if UK-resident (£m)</t>
        </is>
      </c>
      <c r="B11" s="58">
        <f>Assumptions!C10 * Assumptions!C43 * Assumptions!C45 * (Assumptions!C32*Assumptions!C31 + Assumptions!C33/1000 + Assumptions!C34/1000) * Assumptions!C30 * 2 * Assumptions!C46 * Assumptions!C51</f>
        <v/>
      </c>
    </row>
    <row r="12" ht="15" customHeight="1" s="36">
      <c r="A12" s="48" t="inlineStr">
        <is>
          <t>Per-founder expected next-company tax base if relocated (£m)</t>
        </is>
      </c>
      <c r="B12" s="58">
        <f>Assumptions!C10 * Assumptions!C43 * Assumptions!C45 * (Assumptions!C32*Assumptions!C31 + Assumptions!C33/1000 + Assumptions!C34/1000) * Assumptions!C30 * 2 * Assumptions!C47 * Assumptions!C51</f>
        <v/>
      </c>
    </row>
    <row r="13" ht="15" customHeight="1" s="36">
      <c r="A13" s="48" t="inlineStr">
        <is>
          <t>Loss per departed founder — next company (£m)</t>
        </is>
      </c>
      <c r="B13" s="58">
        <f>$B$11 - $B$12</f>
        <v/>
      </c>
    </row>
    <row r="14" ht="15" customHeight="1" s="36">
      <c r="A14" s="59" t="inlineStr">
        <is>
          <t>Total loss per departed founder (current + next, £m)</t>
        </is>
      </c>
      <c r="B14" s="61">
        <f>$B$10 + $B$13</f>
        <v/>
      </c>
    </row>
    <row r="20" ht="15" customHeight="1" s="36">
      <c r="A20" s="55" t="inlineStr">
        <is>
          <t>CENTRAL CASE</t>
        </is>
      </c>
    </row>
    <row r="21" ht="15" customHeight="1" s="36">
      <c r="A21" s="48" t="inlineStr">
        <is>
          <t>Per-founder company annual tax base at cohort entry (£m, UK-resident)</t>
        </is>
      </c>
      <c r="B21" s="60">
        <f>Assumptions!D28 * Assumptions!D32 * Assumptions!D31 + Assumptions!D28 * Assumptions!D33 / 1000 + Assumptions!D28 * Assumptions!D34 / 1000</f>
        <v/>
      </c>
    </row>
    <row r="22" ht="15" customHeight="1" s="36">
      <c r="A22" s="48" t="inlineStr">
        <is>
          <t>Per-founder lifetime company tax base (£m, simplified linear)</t>
        </is>
      </c>
      <c r="B22" s="58">
        <f>$B$21 * Assumptions!D30 * 2</f>
        <v/>
      </c>
    </row>
    <row r="23" ht="15" customHeight="1" s="36">
      <c r="A23" s="48" t="inlineStr">
        <is>
          <t>Per-founder lifetime company tax base if founder relocates (£m)</t>
        </is>
      </c>
      <c r="B23" s="58">
        <f>$B$22 * (1 - Assumptions!D38)</f>
        <v/>
      </c>
    </row>
    <row r="24" ht="15" customHeight="1" s="36">
      <c r="A24" s="48" t="inlineStr">
        <is>
          <t>Loss per departed founder — current company (£m)</t>
        </is>
      </c>
      <c r="B24" s="58">
        <f>$B$22 - $B$23</f>
        <v/>
      </c>
    </row>
    <row r="25" ht="15" customHeight="1" s="36">
      <c r="A25" s="48" t="inlineStr">
        <is>
          <t>Per-founder expected next-company tax base if UK-resident (£m)</t>
        </is>
      </c>
      <c r="B25" s="58">
        <f>Assumptions!D10 * Assumptions!D43 * Assumptions!D45 * (Assumptions!D32*Assumptions!D31 + Assumptions!D33/1000 + Assumptions!D34/1000) * Assumptions!D30 * 2 * Assumptions!D46 * Assumptions!D51</f>
        <v/>
      </c>
    </row>
    <row r="26" ht="15" customHeight="1" s="36">
      <c r="A26" s="48" t="inlineStr">
        <is>
          <t>Per-founder expected next-company tax base if relocated (£m)</t>
        </is>
      </c>
      <c r="B26" s="58">
        <f>Assumptions!D10 * Assumptions!D43 * Assumptions!D45 * (Assumptions!D32*Assumptions!D31 + Assumptions!D33/1000 + Assumptions!D34/1000) * Assumptions!D30 * 2 * Assumptions!D47 * Assumptions!D51</f>
        <v/>
      </c>
    </row>
    <row r="27" ht="15" customHeight="1" s="36">
      <c r="A27" s="48" t="inlineStr">
        <is>
          <t>Loss per departed founder — next company (£m)</t>
        </is>
      </c>
      <c r="B27" s="58">
        <f>$B$25 - $B$26</f>
        <v/>
      </c>
    </row>
    <row r="28" ht="15" customHeight="1" s="36">
      <c r="A28" s="59" t="inlineStr">
        <is>
          <t>Total loss per departed founder (current + next, £m)</t>
        </is>
      </c>
      <c r="B28" s="61">
        <f>$B$24 + $B$27</f>
        <v/>
      </c>
    </row>
    <row r="34" ht="15" customHeight="1" s="36">
      <c r="A34" s="55" t="inlineStr">
        <is>
          <t>WORST CASE</t>
        </is>
      </c>
    </row>
    <row r="35" ht="15" customHeight="1" s="36">
      <c r="A35" s="48" t="inlineStr">
        <is>
          <t>Per-founder company annual tax base at cohort entry (£m, UK-resident)</t>
        </is>
      </c>
      <c r="B35" s="60">
        <f>Assumptions!E28 * Assumptions!E32 * Assumptions!E31 + Assumptions!E28 * Assumptions!E33 / 1000 + Assumptions!E28 * Assumptions!E34 / 1000</f>
        <v/>
      </c>
    </row>
    <row r="36" ht="15" customHeight="1" s="36">
      <c r="A36" s="48" t="inlineStr">
        <is>
          <t>Per-founder lifetime company tax base (£m, simplified linear)</t>
        </is>
      </c>
      <c r="B36" s="58">
        <f>$B$35 * Assumptions!E30 * 2</f>
        <v/>
      </c>
    </row>
    <row r="37" ht="15" customHeight="1" s="36">
      <c r="A37" s="48" t="inlineStr">
        <is>
          <t>Per-founder lifetime company tax base if founder relocates (£m)</t>
        </is>
      </c>
      <c r="B37" s="58">
        <f>$B$36 * (1 - Assumptions!E38)</f>
        <v/>
      </c>
    </row>
    <row r="38" ht="15" customHeight="1" s="36">
      <c r="A38" s="48" t="inlineStr">
        <is>
          <t>Loss per departed founder — current company (£m)</t>
        </is>
      </c>
      <c r="B38" s="58">
        <f>$B$36 - $B$37</f>
        <v/>
      </c>
    </row>
    <row r="39" ht="15" customHeight="1" s="36">
      <c r="A39" s="48" t="inlineStr">
        <is>
          <t>Per-founder expected next-company tax base if UK-resident (£m)</t>
        </is>
      </c>
      <c r="B39" s="58">
        <f>Assumptions!E10 * Assumptions!E43 * Assumptions!E45 * (Assumptions!E32*Assumptions!E31 + Assumptions!E33/1000 + Assumptions!E34/1000) * Assumptions!E30 * 2 * Assumptions!E46 * Assumptions!E51</f>
        <v/>
      </c>
    </row>
    <row r="40" ht="15" customHeight="1" s="36">
      <c r="A40" s="48" t="inlineStr">
        <is>
          <t>Per-founder expected next-company tax base if relocated (£m)</t>
        </is>
      </c>
      <c r="B40" s="58">
        <f>Assumptions!E10 * Assumptions!E43 * Assumptions!E45 * (Assumptions!E32*Assumptions!E31 + Assumptions!E33/1000 + Assumptions!E34/1000) * Assumptions!E30 * 2 * Assumptions!E47 * Assumptions!E51</f>
        <v/>
      </c>
    </row>
    <row r="41" ht="15" customHeight="1" s="36">
      <c r="A41" s="48" t="inlineStr">
        <is>
          <t>Loss per departed founder — next company (£m)</t>
        </is>
      </c>
      <c r="B41" s="58">
        <f>$B$39 - $B$40</f>
        <v/>
      </c>
    </row>
    <row r="42" ht="15" customHeight="1" s="36">
      <c r="A42" s="59" t="inlineStr">
        <is>
          <t>Total loss per departed founder (current + next, £m)</t>
        </is>
      </c>
      <c r="B42" s="61">
        <f>$B$38 + $B$41</f>
        <v/>
      </c>
    </row>
  </sheetData>
  <mergeCells count="2">
    <mergeCell ref="A2:F2"/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F42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5" customWidth="1" style="35" min="1" max="1"/>
    <col width="16" customWidth="1" style="35" min="2" max="6"/>
  </cols>
  <sheetData>
    <row r="1" ht="17.35" customHeight="1" s="36">
      <c r="A1" s="43" t="inlineStr">
        <is>
          <t>SUMMARY — 25-year present-value fiscal effect of each policy option × scenario</t>
        </is>
      </c>
    </row>
    <row r="2" ht="15" customHeight="1" s="36">
      <c r="A2" s="39" t="inlineStr">
        <is>
          <t>All figures in £m. Direct + indirect fiscal effect, 25-year horizon, discounted at scenario discount rate.</t>
        </is>
      </c>
    </row>
    <row r="4" ht="15" customHeight="1" s="36">
      <c r="A4" s="62" t="inlineStr">
        <is>
          <t>Metric</t>
        </is>
      </c>
      <c r="B4" s="62" t="inlineStr">
        <is>
          <t>Best case</t>
        </is>
      </c>
      <c r="C4" s="62" t="inlineStr">
        <is>
          <t>Central case</t>
        </is>
      </c>
      <c r="D4" s="62" t="inlineStr">
        <is>
          <t>Worst case</t>
        </is>
      </c>
      <c r="E4" s="62" t="inlineStr">
        <is>
          <t>Range</t>
        </is>
      </c>
      <c r="F4" s="62" t="inlineStr">
        <is>
          <t>Notes</t>
        </is>
      </c>
    </row>
    <row r="6" ht="15" customHeight="1" s="36">
      <c r="A6" s="63" t="inlineStr">
        <is>
          <t>OPTION A — HOLD</t>
        </is>
      </c>
    </row>
    <row r="7" ht="15" customHeight="1" s="36">
      <c r="A7" s="35" t="inlineStr">
        <is>
          <t xml:space="preserve">  Direct fiscal — IHT collected (PV £m)</t>
        </is>
      </c>
      <c r="B7" s="64">
        <f>NPV(Assumptions!C57, 'Direct fiscal'!B10:Z10)</f>
        <v/>
      </c>
      <c r="C7" s="64">
        <f>NPV(Assumptions!D57, 'Direct fiscal'!B20:Z20)</f>
        <v/>
      </c>
      <c r="D7" s="64">
        <f>NPV(Assumptions!E57, 'Direct fiscal'!B30:Z30)</f>
        <v/>
      </c>
    </row>
    <row r="8" ht="15" customHeight="1" s="36">
      <c r="A8" s="35" t="inlineStr">
        <is>
          <t xml:space="preserve">  Indirect fiscal — losses from relocation (PV £m)</t>
        </is>
      </c>
      <c r="B8" s="64">
        <f>-1*('Cohort flow'!B8*'Indirect fiscal'!$B$14/(1+Assumptions!C57)^6+'Cohort flow'!C8*'Indirect fiscal'!$B$14/(1+Assumptions!C57)^7+'Cohort flow'!D8*'Indirect fiscal'!$B$14/(1+Assumptions!C57)^8+'Cohort flow'!E8*'Indirect fiscal'!$B$14/(1+Assumptions!C57)^9+'Cohort flow'!F8*'Indirect fiscal'!$B$14/(1+Assumptions!C57)^10+'Cohort flow'!G8*'Indirect fiscal'!$B$14/(1+Assumptions!C57)^11+'Cohort flow'!H8*'Indirect fiscal'!$B$14/(1+Assumptions!C57)^12+'Cohort flow'!I8*'Indirect fiscal'!$B$14/(1+Assumptions!C57)^13+'Cohort flow'!J8*'Indirect fiscal'!$B$14/(1+Assumptions!C57)^14+'Cohort flow'!K8*'Indirect fiscal'!$B$14/(1+Assumptions!C57)^15+'Cohort flow'!L8*'Indirect fiscal'!$B$14/(1+Assumptions!C57)^16+'Cohort flow'!M8*'Indirect fiscal'!$B$14/(1+Assumptions!C57)^17+'Cohort flow'!N8*'Indirect fiscal'!$B$14/(1+Assumptions!C57)^18+'Cohort flow'!O8*'Indirect fiscal'!$B$14/(1+Assumptions!C57)^19+'Cohort flow'!P8*'Indirect fiscal'!$B$14/(1+Assumptions!C57)^20+'Cohort flow'!Q8*'Indirect fiscal'!$B$14/(1+Assumptions!C57)^21+'Cohort flow'!R8*'Indirect fiscal'!$B$14/(1+Assumptions!C57)^22+'Cohort flow'!S8*'Indirect fiscal'!$B$14/(1+Assumptions!C57)^23+'Cohort flow'!T8*'Indirect fiscal'!$B$14/(1+Assumptions!C57)^24+'Cohort flow'!U8*'Indirect fiscal'!$B$14/(1+Assumptions!C57)^25+'Cohort flow'!V8*'Indirect fiscal'!$B$14/(1+Assumptions!C57)^26+'Cohort flow'!W8*'Indirect fiscal'!$B$14/(1+Assumptions!C57)^27+'Cohort flow'!X8*'Indirect fiscal'!$B$14/(1+Assumptions!C57)^28+'Cohort flow'!Y8*'Indirect fiscal'!$B$14/(1+Assumptions!C57)^29+'Cohort flow'!Z8*'Indirect fiscal'!$B$14/(1+Assumptions!C57)^30)</f>
        <v/>
      </c>
      <c r="C8" s="64">
        <f>-1*('Cohort flow'!B18*'Indirect fiscal'!$B$28/(1+Assumptions!D57)^6+'Cohort flow'!C18*'Indirect fiscal'!$B$28/(1+Assumptions!D57)^7+'Cohort flow'!D18*'Indirect fiscal'!$B$28/(1+Assumptions!D57)^8+'Cohort flow'!E18*'Indirect fiscal'!$B$28/(1+Assumptions!D57)^9+'Cohort flow'!F18*'Indirect fiscal'!$B$28/(1+Assumptions!D57)^10+'Cohort flow'!G18*'Indirect fiscal'!$B$28/(1+Assumptions!D57)^11+'Cohort flow'!H18*'Indirect fiscal'!$B$28/(1+Assumptions!D57)^12+'Cohort flow'!I18*'Indirect fiscal'!$B$28/(1+Assumptions!D57)^13+'Cohort flow'!J18*'Indirect fiscal'!$B$28/(1+Assumptions!D57)^14+'Cohort flow'!K18*'Indirect fiscal'!$B$28/(1+Assumptions!D57)^15+'Cohort flow'!L18*'Indirect fiscal'!$B$28/(1+Assumptions!D57)^16+'Cohort flow'!M18*'Indirect fiscal'!$B$28/(1+Assumptions!D57)^17+'Cohort flow'!N18*'Indirect fiscal'!$B$28/(1+Assumptions!D57)^18+'Cohort flow'!O18*'Indirect fiscal'!$B$28/(1+Assumptions!D57)^19+'Cohort flow'!P18*'Indirect fiscal'!$B$28/(1+Assumptions!D57)^20+'Cohort flow'!Q18*'Indirect fiscal'!$B$28/(1+Assumptions!D57)^21+'Cohort flow'!R18*'Indirect fiscal'!$B$28/(1+Assumptions!D57)^22+'Cohort flow'!S18*'Indirect fiscal'!$B$28/(1+Assumptions!D57)^23+'Cohort flow'!T18*'Indirect fiscal'!$B$28/(1+Assumptions!D57)^24+'Cohort flow'!U18*'Indirect fiscal'!$B$28/(1+Assumptions!D57)^25+'Cohort flow'!V18*'Indirect fiscal'!$B$28/(1+Assumptions!D57)^26+'Cohort flow'!W18*'Indirect fiscal'!$B$28/(1+Assumptions!D57)^27+'Cohort flow'!X18*'Indirect fiscal'!$B$28/(1+Assumptions!D57)^28+'Cohort flow'!Y18*'Indirect fiscal'!$B$28/(1+Assumptions!D57)^29+'Cohort flow'!Z18*'Indirect fiscal'!$B$28/(1+Assumptions!D57)^30)</f>
        <v/>
      </c>
      <c r="D8" s="64">
        <f>-1*('Cohort flow'!B28*'Indirect fiscal'!$B$42/(1+Assumptions!E57)^6+'Cohort flow'!C28*'Indirect fiscal'!$B$42/(1+Assumptions!E57)^7+'Cohort flow'!D28*'Indirect fiscal'!$B$42/(1+Assumptions!E57)^8+'Cohort flow'!E28*'Indirect fiscal'!$B$42/(1+Assumptions!E57)^9+'Cohort flow'!F28*'Indirect fiscal'!$B$42/(1+Assumptions!E57)^10+'Cohort flow'!G28*'Indirect fiscal'!$B$42/(1+Assumptions!E57)^11+'Cohort flow'!H28*'Indirect fiscal'!$B$42/(1+Assumptions!E57)^12+'Cohort flow'!I28*'Indirect fiscal'!$B$42/(1+Assumptions!E57)^13+'Cohort flow'!J28*'Indirect fiscal'!$B$42/(1+Assumptions!E57)^14+'Cohort flow'!K28*'Indirect fiscal'!$B$42/(1+Assumptions!E57)^15+'Cohort flow'!L28*'Indirect fiscal'!$B$42/(1+Assumptions!E57)^16+'Cohort flow'!M28*'Indirect fiscal'!$B$42/(1+Assumptions!E57)^17+'Cohort flow'!N28*'Indirect fiscal'!$B$42/(1+Assumptions!E57)^18+'Cohort flow'!O28*'Indirect fiscal'!$B$42/(1+Assumptions!E57)^19+'Cohort flow'!P28*'Indirect fiscal'!$B$42/(1+Assumptions!E57)^20+'Cohort flow'!Q28*'Indirect fiscal'!$B$42/(1+Assumptions!E57)^21+'Cohort flow'!R28*'Indirect fiscal'!$B$42/(1+Assumptions!E57)^22+'Cohort flow'!S28*'Indirect fiscal'!$B$42/(1+Assumptions!E57)^23+'Cohort flow'!T28*'Indirect fiscal'!$B$42/(1+Assumptions!E57)^24+'Cohort flow'!U28*'Indirect fiscal'!$B$42/(1+Assumptions!E57)^25+'Cohort flow'!V28*'Indirect fiscal'!$B$42/(1+Assumptions!E57)^26+'Cohort flow'!W28*'Indirect fiscal'!$B$42/(1+Assumptions!E57)^27+'Cohort flow'!X28*'Indirect fiscal'!$B$42/(1+Assumptions!E57)^28+'Cohort flow'!Y28*'Indirect fiscal'!$B$42/(1+Assumptions!E57)^29+'Cohort flow'!Z28*'Indirect fiscal'!$B$42/(1+Assumptions!E57)^30)</f>
        <v/>
      </c>
    </row>
    <row r="9" ht="15" customHeight="1" s="36">
      <c r="A9" s="59" t="inlineStr">
        <is>
          <t xml:space="preserve">  TOTAL — Option A (PV £m)</t>
        </is>
      </c>
      <c r="B9" s="65">
        <f>B7+B8</f>
        <v/>
      </c>
      <c r="C9" s="65">
        <f>C7+C8</f>
        <v/>
      </c>
      <c r="D9" s="65">
        <f>D7+D8</f>
        <v/>
      </c>
      <c r="E9" s="64">
        <f>B9-D9</f>
        <v/>
      </c>
    </row>
    <row r="11" ht="15" customHeight="1" s="36">
      <c r="A11" s="63" t="inlineStr">
        <is>
          <t>OPTION B — CHANGE</t>
        </is>
      </c>
    </row>
    <row r="12" ht="15" customHeight="1" s="36">
      <c r="A12" s="35" t="inlineStr">
        <is>
          <t xml:space="preserve">  Direct fiscal — CGT collected (PV £m)</t>
        </is>
      </c>
      <c r="B12" s="64">
        <f>NPV(Assumptions!C57, 'Direct fiscal'!B11:Z11)</f>
        <v/>
      </c>
      <c r="C12" s="64">
        <f>NPV(Assumptions!D57, 'Direct fiscal'!B21:Z21)</f>
        <v/>
      </c>
      <c r="D12" s="64">
        <f>NPV(Assumptions!E57, 'Direct fiscal'!B31:Z31)</f>
        <v/>
      </c>
    </row>
    <row r="13" ht="15" customHeight="1" s="36">
      <c r="A13" s="35" t="inlineStr">
        <is>
          <t xml:space="preserve">  Indirect fiscal — losses from relocation (PV £m)</t>
        </is>
      </c>
      <c r="B13" s="64">
        <f>-1*('Cohort flow'!B9*'Indirect fiscal'!$B$14/(1+Assumptions!C57)^6+'Cohort flow'!C9*'Indirect fiscal'!$B$14/(1+Assumptions!C57)^7+'Cohort flow'!D9*'Indirect fiscal'!$B$14/(1+Assumptions!C57)^8+'Cohort flow'!E9*'Indirect fiscal'!$B$14/(1+Assumptions!C57)^9+'Cohort flow'!F9*'Indirect fiscal'!$B$14/(1+Assumptions!C57)^10+'Cohort flow'!G9*'Indirect fiscal'!$B$14/(1+Assumptions!C57)^11+'Cohort flow'!H9*'Indirect fiscal'!$B$14/(1+Assumptions!C57)^12+'Cohort flow'!I9*'Indirect fiscal'!$B$14/(1+Assumptions!C57)^13+'Cohort flow'!J9*'Indirect fiscal'!$B$14/(1+Assumptions!C57)^14+'Cohort flow'!K9*'Indirect fiscal'!$B$14/(1+Assumptions!C57)^15+'Cohort flow'!L9*'Indirect fiscal'!$B$14/(1+Assumptions!C57)^16+'Cohort flow'!M9*'Indirect fiscal'!$B$14/(1+Assumptions!C57)^17+'Cohort flow'!N9*'Indirect fiscal'!$B$14/(1+Assumptions!C57)^18+'Cohort flow'!O9*'Indirect fiscal'!$B$14/(1+Assumptions!C57)^19+'Cohort flow'!P9*'Indirect fiscal'!$B$14/(1+Assumptions!C57)^20+'Cohort flow'!Q9*'Indirect fiscal'!$B$14/(1+Assumptions!C57)^21+'Cohort flow'!R9*'Indirect fiscal'!$B$14/(1+Assumptions!C57)^22+'Cohort flow'!S9*'Indirect fiscal'!$B$14/(1+Assumptions!C57)^23+'Cohort flow'!T9*'Indirect fiscal'!$B$14/(1+Assumptions!C57)^24+'Cohort flow'!U9*'Indirect fiscal'!$B$14/(1+Assumptions!C57)^25+'Cohort flow'!V9*'Indirect fiscal'!$B$14/(1+Assumptions!C57)^26+'Cohort flow'!W9*'Indirect fiscal'!$B$14/(1+Assumptions!C57)^27+'Cohort flow'!X9*'Indirect fiscal'!$B$14/(1+Assumptions!C57)^28+'Cohort flow'!Y9*'Indirect fiscal'!$B$14/(1+Assumptions!C57)^29+'Cohort flow'!Z9*'Indirect fiscal'!$B$14/(1+Assumptions!C57)^30)</f>
        <v/>
      </c>
      <c r="C13" s="64">
        <f>-1*('Cohort flow'!B19*'Indirect fiscal'!$B$28/(1+Assumptions!D57)^6+'Cohort flow'!C19*'Indirect fiscal'!$B$28/(1+Assumptions!D57)^7+'Cohort flow'!D19*'Indirect fiscal'!$B$28/(1+Assumptions!D57)^8+'Cohort flow'!E19*'Indirect fiscal'!$B$28/(1+Assumptions!D57)^9+'Cohort flow'!F19*'Indirect fiscal'!$B$28/(1+Assumptions!D57)^10+'Cohort flow'!G19*'Indirect fiscal'!$B$28/(1+Assumptions!D57)^11+'Cohort flow'!H19*'Indirect fiscal'!$B$28/(1+Assumptions!D57)^12+'Cohort flow'!I19*'Indirect fiscal'!$B$28/(1+Assumptions!D57)^13+'Cohort flow'!J19*'Indirect fiscal'!$B$28/(1+Assumptions!D57)^14+'Cohort flow'!K19*'Indirect fiscal'!$B$28/(1+Assumptions!D57)^15+'Cohort flow'!L19*'Indirect fiscal'!$B$28/(1+Assumptions!D57)^16+'Cohort flow'!M19*'Indirect fiscal'!$B$28/(1+Assumptions!D57)^17+'Cohort flow'!N19*'Indirect fiscal'!$B$28/(1+Assumptions!D57)^18+'Cohort flow'!O19*'Indirect fiscal'!$B$28/(1+Assumptions!D57)^19+'Cohort flow'!P19*'Indirect fiscal'!$B$28/(1+Assumptions!D57)^20+'Cohort flow'!Q19*'Indirect fiscal'!$B$28/(1+Assumptions!D57)^21+'Cohort flow'!R19*'Indirect fiscal'!$B$28/(1+Assumptions!D57)^22+'Cohort flow'!S19*'Indirect fiscal'!$B$28/(1+Assumptions!D57)^23+'Cohort flow'!T19*'Indirect fiscal'!$B$28/(1+Assumptions!D57)^24+'Cohort flow'!U19*'Indirect fiscal'!$B$28/(1+Assumptions!D57)^25+'Cohort flow'!V19*'Indirect fiscal'!$B$28/(1+Assumptions!D57)^26+'Cohort flow'!W19*'Indirect fiscal'!$B$28/(1+Assumptions!D57)^27+'Cohort flow'!X19*'Indirect fiscal'!$B$28/(1+Assumptions!D57)^28+'Cohort flow'!Y19*'Indirect fiscal'!$B$28/(1+Assumptions!D57)^29+'Cohort flow'!Z19*'Indirect fiscal'!$B$28/(1+Assumptions!D57)^30)</f>
        <v/>
      </c>
      <c r="D13" s="64">
        <f>-1*('Cohort flow'!B29*'Indirect fiscal'!$B$42/(1+Assumptions!E57)^6+'Cohort flow'!C29*'Indirect fiscal'!$B$42/(1+Assumptions!E57)^7+'Cohort flow'!D29*'Indirect fiscal'!$B$42/(1+Assumptions!E57)^8+'Cohort flow'!E29*'Indirect fiscal'!$B$42/(1+Assumptions!E57)^9+'Cohort flow'!F29*'Indirect fiscal'!$B$42/(1+Assumptions!E57)^10+'Cohort flow'!G29*'Indirect fiscal'!$B$42/(1+Assumptions!E57)^11+'Cohort flow'!H29*'Indirect fiscal'!$B$42/(1+Assumptions!E57)^12+'Cohort flow'!I29*'Indirect fiscal'!$B$42/(1+Assumptions!E57)^13+'Cohort flow'!J29*'Indirect fiscal'!$B$42/(1+Assumptions!E57)^14+'Cohort flow'!K29*'Indirect fiscal'!$B$42/(1+Assumptions!E57)^15+'Cohort flow'!L29*'Indirect fiscal'!$B$42/(1+Assumptions!E57)^16+'Cohort flow'!M29*'Indirect fiscal'!$B$42/(1+Assumptions!E57)^17+'Cohort flow'!N29*'Indirect fiscal'!$B$42/(1+Assumptions!E57)^18+'Cohort flow'!O29*'Indirect fiscal'!$B$42/(1+Assumptions!E57)^19+'Cohort flow'!P29*'Indirect fiscal'!$B$42/(1+Assumptions!E57)^20+'Cohort flow'!Q29*'Indirect fiscal'!$B$42/(1+Assumptions!E57)^21+'Cohort flow'!R29*'Indirect fiscal'!$B$42/(1+Assumptions!E57)^22+'Cohort flow'!S29*'Indirect fiscal'!$B$42/(1+Assumptions!E57)^23+'Cohort flow'!T29*'Indirect fiscal'!$B$42/(1+Assumptions!E57)^24+'Cohort flow'!U29*'Indirect fiscal'!$B$42/(1+Assumptions!E57)^25+'Cohort flow'!V29*'Indirect fiscal'!$B$42/(1+Assumptions!E57)^26+'Cohort flow'!W29*'Indirect fiscal'!$B$42/(1+Assumptions!E57)^27+'Cohort flow'!X29*'Indirect fiscal'!$B$42/(1+Assumptions!E57)^28+'Cohort flow'!Y29*'Indirect fiscal'!$B$42/(1+Assumptions!E57)^29+'Cohort flow'!Z29*'Indirect fiscal'!$B$42/(1+Assumptions!E57)^30)</f>
        <v/>
      </c>
    </row>
    <row r="14" ht="15" customHeight="1" s="36">
      <c r="A14" s="59" t="inlineStr">
        <is>
          <t xml:space="preserve">  TOTAL — Option B (PV £m)</t>
        </is>
      </c>
      <c r="B14" s="65">
        <f>B12+B13</f>
        <v/>
      </c>
      <c r="C14" s="65">
        <f>C12+C13</f>
        <v/>
      </c>
      <c r="D14" s="65">
        <f>D12+D13</f>
        <v/>
      </c>
      <c r="E14" s="64">
        <f>B14-D14</f>
        <v/>
      </c>
    </row>
    <row r="16" ht="15" customHeight="1" s="36">
      <c r="A16" s="63" t="inlineStr">
        <is>
          <t>OPTION C — WAIT</t>
        </is>
      </c>
    </row>
    <row r="17" ht="15" customHeight="1" s="36">
      <c r="A17" s="35" t="inlineStr">
        <is>
          <t xml:space="preserve">  Direct fiscal — IHT collected (PV £m)</t>
        </is>
      </c>
      <c r="B17" s="64">
        <f>NPV(Assumptions!C57, 'Direct fiscal'!B12:Z12)</f>
        <v/>
      </c>
      <c r="C17" s="64">
        <f>NPV(Assumptions!D57, 'Direct fiscal'!B22:Z22)</f>
        <v/>
      </c>
      <c r="D17" s="64">
        <f>NPV(Assumptions!E57, 'Direct fiscal'!B32:Z32)</f>
        <v/>
      </c>
    </row>
    <row r="18" ht="15" customHeight="1" s="36">
      <c r="A18" s="35" t="inlineStr">
        <is>
          <t xml:space="preserve">  Indirect fiscal — losses from relocation (PV £m)</t>
        </is>
      </c>
      <c r="B18" s="64">
        <f>-1*('Cohort flow'!B10*'Indirect fiscal'!$B$14/(1+Assumptions!C57)^6+'Cohort flow'!C10*'Indirect fiscal'!$B$14/(1+Assumptions!C57)^7+'Cohort flow'!D10*'Indirect fiscal'!$B$14/(1+Assumptions!C57)^8+'Cohort flow'!E10*'Indirect fiscal'!$B$14/(1+Assumptions!C57)^9+'Cohort flow'!F10*'Indirect fiscal'!$B$14/(1+Assumptions!C57)^10+'Cohort flow'!G10*'Indirect fiscal'!$B$14/(1+Assumptions!C57)^11+'Cohort flow'!H10*'Indirect fiscal'!$B$14/(1+Assumptions!C57)^12+'Cohort flow'!I10*'Indirect fiscal'!$B$14/(1+Assumptions!C57)^13+'Cohort flow'!J10*'Indirect fiscal'!$B$14/(1+Assumptions!C57)^14+'Cohort flow'!K10*'Indirect fiscal'!$B$14/(1+Assumptions!C57)^15+'Cohort flow'!L10*'Indirect fiscal'!$B$14/(1+Assumptions!C57)^16+'Cohort flow'!M10*'Indirect fiscal'!$B$14/(1+Assumptions!C57)^17+'Cohort flow'!N10*'Indirect fiscal'!$B$14/(1+Assumptions!C57)^18+'Cohort flow'!O10*'Indirect fiscal'!$B$14/(1+Assumptions!C57)^19+'Cohort flow'!P10*'Indirect fiscal'!$B$14/(1+Assumptions!C57)^20+'Cohort flow'!Q10*'Indirect fiscal'!$B$14/(1+Assumptions!C57)^21+'Cohort flow'!R10*'Indirect fiscal'!$B$14/(1+Assumptions!C57)^22+'Cohort flow'!S10*'Indirect fiscal'!$B$14/(1+Assumptions!C57)^23+'Cohort flow'!T10*'Indirect fiscal'!$B$14/(1+Assumptions!C57)^24+'Cohort flow'!U10*'Indirect fiscal'!$B$14/(1+Assumptions!C57)^25+'Cohort flow'!V10*'Indirect fiscal'!$B$14/(1+Assumptions!C57)^26+'Cohort flow'!W10*'Indirect fiscal'!$B$14/(1+Assumptions!C57)^27+'Cohort flow'!X10*'Indirect fiscal'!$B$14/(1+Assumptions!C57)^28+'Cohort flow'!Y10*'Indirect fiscal'!$B$14/(1+Assumptions!C57)^29+'Cohort flow'!Z10*'Indirect fiscal'!$B$14/(1+Assumptions!C57)^30)</f>
        <v/>
      </c>
      <c r="C18" s="64">
        <f>-1*('Cohort flow'!B20*'Indirect fiscal'!$B$28/(1+Assumptions!D57)^6+'Cohort flow'!C20*'Indirect fiscal'!$B$28/(1+Assumptions!D57)^7+'Cohort flow'!D20*'Indirect fiscal'!$B$28/(1+Assumptions!D57)^8+'Cohort flow'!E20*'Indirect fiscal'!$B$28/(1+Assumptions!D57)^9+'Cohort flow'!F20*'Indirect fiscal'!$B$28/(1+Assumptions!D57)^10+'Cohort flow'!G20*'Indirect fiscal'!$B$28/(1+Assumptions!D57)^11+'Cohort flow'!H20*'Indirect fiscal'!$B$28/(1+Assumptions!D57)^12+'Cohort flow'!I20*'Indirect fiscal'!$B$28/(1+Assumptions!D57)^13+'Cohort flow'!J20*'Indirect fiscal'!$B$28/(1+Assumptions!D57)^14+'Cohort flow'!K20*'Indirect fiscal'!$B$28/(1+Assumptions!D57)^15+'Cohort flow'!L20*'Indirect fiscal'!$B$28/(1+Assumptions!D57)^16+'Cohort flow'!M20*'Indirect fiscal'!$B$28/(1+Assumptions!D57)^17+'Cohort flow'!N20*'Indirect fiscal'!$B$28/(1+Assumptions!D57)^18+'Cohort flow'!O20*'Indirect fiscal'!$B$28/(1+Assumptions!D57)^19+'Cohort flow'!P20*'Indirect fiscal'!$B$28/(1+Assumptions!D57)^20+'Cohort flow'!Q20*'Indirect fiscal'!$B$28/(1+Assumptions!D57)^21+'Cohort flow'!R20*'Indirect fiscal'!$B$28/(1+Assumptions!D57)^22+'Cohort flow'!S20*'Indirect fiscal'!$B$28/(1+Assumptions!D57)^23+'Cohort flow'!T20*'Indirect fiscal'!$B$28/(1+Assumptions!D57)^24+'Cohort flow'!U20*'Indirect fiscal'!$B$28/(1+Assumptions!D57)^25+'Cohort flow'!V20*'Indirect fiscal'!$B$28/(1+Assumptions!D57)^26+'Cohort flow'!W20*'Indirect fiscal'!$B$28/(1+Assumptions!D57)^27+'Cohort flow'!X20*'Indirect fiscal'!$B$28/(1+Assumptions!D57)^28+'Cohort flow'!Y20*'Indirect fiscal'!$B$28/(1+Assumptions!D57)^29+'Cohort flow'!Z20*'Indirect fiscal'!$B$28/(1+Assumptions!D57)^30)</f>
        <v/>
      </c>
      <c r="D18" s="64">
        <f>-1*('Cohort flow'!B30*'Indirect fiscal'!$B$42/(1+Assumptions!E57)^6+'Cohort flow'!C30*'Indirect fiscal'!$B$42/(1+Assumptions!E57)^7+'Cohort flow'!D30*'Indirect fiscal'!$B$42/(1+Assumptions!E57)^8+'Cohort flow'!E30*'Indirect fiscal'!$B$42/(1+Assumptions!E57)^9+'Cohort flow'!F30*'Indirect fiscal'!$B$42/(1+Assumptions!E57)^10+'Cohort flow'!G30*'Indirect fiscal'!$B$42/(1+Assumptions!E57)^11+'Cohort flow'!H30*'Indirect fiscal'!$B$42/(1+Assumptions!E57)^12+'Cohort flow'!I30*'Indirect fiscal'!$B$42/(1+Assumptions!E57)^13+'Cohort flow'!J30*'Indirect fiscal'!$B$42/(1+Assumptions!E57)^14+'Cohort flow'!K30*'Indirect fiscal'!$B$42/(1+Assumptions!E57)^15+'Cohort flow'!L30*'Indirect fiscal'!$B$42/(1+Assumptions!E57)^16+'Cohort flow'!M30*'Indirect fiscal'!$B$42/(1+Assumptions!E57)^17+'Cohort flow'!N30*'Indirect fiscal'!$B$42/(1+Assumptions!E57)^18+'Cohort flow'!O30*'Indirect fiscal'!$B$42/(1+Assumptions!E57)^19+'Cohort flow'!P30*'Indirect fiscal'!$B$42/(1+Assumptions!E57)^20+'Cohort flow'!Q30*'Indirect fiscal'!$B$42/(1+Assumptions!E57)^21+'Cohort flow'!R30*'Indirect fiscal'!$B$42/(1+Assumptions!E57)^22+'Cohort flow'!S30*'Indirect fiscal'!$B$42/(1+Assumptions!E57)^23+'Cohort flow'!T30*'Indirect fiscal'!$B$42/(1+Assumptions!E57)^24+'Cohort flow'!U30*'Indirect fiscal'!$B$42/(1+Assumptions!E57)^25+'Cohort flow'!V30*'Indirect fiscal'!$B$42/(1+Assumptions!E57)^26+'Cohort flow'!W30*'Indirect fiscal'!$B$42/(1+Assumptions!E57)^27+'Cohort flow'!X30*'Indirect fiscal'!$B$42/(1+Assumptions!E57)^28+'Cohort flow'!Y30*'Indirect fiscal'!$B$42/(1+Assumptions!E57)^29+'Cohort flow'!Z30*'Indirect fiscal'!$B$42/(1+Assumptions!E57)^30)</f>
        <v/>
      </c>
    </row>
    <row r="19" ht="15" customHeight="1" s="36">
      <c r="A19" s="59" t="inlineStr">
        <is>
          <t xml:space="preserve">  TOTAL — Option C (PV £m)</t>
        </is>
      </c>
      <c r="B19" s="65">
        <f>B17+B18</f>
        <v/>
      </c>
      <c r="C19" s="65">
        <f>C17+C18</f>
        <v/>
      </c>
      <c r="D19" s="65">
        <f>D17+D18</f>
        <v/>
      </c>
      <c r="E19" s="64">
        <f>B19-D19</f>
        <v/>
      </c>
    </row>
    <row r="22" ht="15" customHeight="1" s="36">
      <c r="A22" s="66" t="inlineStr">
        <is>
          <t>BEST OPTION BY SCENARIO</t>
        </is>
      </c>
    </row>
    <row r="23" ht="15" customHeight="1" s="36">
      <c r="A23" s="35" t="inlineStr">
        <is>
          <t xml:space="preserve">  Best option in best case</t>
        </is>
      </c>
      <c r="B23" s="59">
        <f>IF(MAX(B9,B14,B19)=B9,"Option A — HOLD",IF(MAX(B9,B14,B19)=B14,"Option B — CHANGE","Option C — WAIT"))</f>
        <v/>
      </c>
    </row>
    <row r="24" ht="15" customHeight="1" s="36">
      <c r="A24" s="35" t="inlineStr">
        <is>
          <t xml:space="preserve">  Best option in central case</t>
        </is>
      </c>
      <c r="B24" s="59">
        <f>IF(MAX(C9,C14,C19)=C9,"Option A — HOLD",IF(MAX(C9,C14,C19)=C14,"Option B — CHANGE","Option C — WAIT"))</f>
        <v/>
      </c>
    </row>
    <row r="25" ht="15" customHeight="1" s="36">
      <c r="A25" s="35" t="inlineStr">
        <is>
          <t xml:space="preserve">  Best option in worst case</t>
        </is>
      </c>
      <c r="B25" s="59">
        <f>IF(MAX(D9,D14,D19)=D9,"Option A — HOLD",IF(MAX(D9,D14,D19)=D14,"Option B — CHANGE","Option C — WAIT"))</f>
        <v/>
      </c>
    </row>
    <row r="28" ht="15" customHeight="1" s="36">
      <c r="A28" s="67" t="inlineStr">
        <is>
          <t>READING THE RESULTS</t>
        </is>
      </c>
    </row>
    <row r="29" ht="22.35" customHeight="1" s="36">
      <c r="A29" s="68" t="inlineStr">
        <is>
          <t>1.  Negative numbers mean net fiscal cost to the state. Positive means net fiscal benefit.</t>
        </is>
      </c>
    </row>
    <row r="30" ht="15" customHeight="1" s="36">
      <c r="A30" s="68" t="inlineStr">
        <is>
          <t xml:space="preserve">    The total is direct revenue minus indirect losses.</t>
        </is>
      </c>
    </row>
    <row r="31" ht="15" customHeight="1" s="36">
      <c r="A31" s="68" t="n"/>
    </row>
    <row r="32" ht="22.35" customHeight="1" s="36">
      <c r="A32" s="68" t="inlineStr">
        <is>
          <t>2.  The relative ordering of options can change between scenarios. There is no option that</t>
        </is>
      </c>
    </row>
    <row r="33" ht="15" customHeight="1" s="36">
      <c r="A33" s="68" t="inlineStr">
        <is>
          <t xml:space="preserve">    dominates across all empirical worlds.</t>
        </is>
      </c>
    </row>
    <row r="34" ht="15" customHeight="1" s="36">
      <c r="A34" s="68" t="n"/>
    </row>
    <row r="35" ht="22.35" customHeight="1" s="36">
      <c r="A35" s="68" t="inlineStr">
        <is>
          <t>3.  Behavioural-response assumptions (rows 14-16, yellow on Assumptions) are the most</t>
        </is>
      </c>
    </row>
    <row r="36" ht="15" customHeight="1" s="36">
      <c r="A36" s="68" t="inlineStr">
        <is>
          <t xml:space="preserve">    consequential single inputs.</t>
        </is>
      </c>
    </row>
    <row r="37" ht="15" customHeight="1" s="36">
      <c r="A37" s="68" t="n"/>
    </row>
    <row r="38" ht="22.35" customHeight="1" s="36">
      <c r="A38" s="68" t="inlineStr">
        <is>
          <t>4.  The next-company effect (rows 43-47, 51) is the part of the model with the widest</t>
        </is>
      </c>
    </row>
    <row r="39" ht="15" customHeight="1" s="36">
      <c r="A39" s="68" t="inlineStr">
        <is>
          <t xml:space="preserve">    range of plausible values.</t>
        </is>
      </c>
    </row>
    <row r="40" ht="15" customHeight="1" s="36">
      <c r="A40" s="68" t="n"/>
    </row>
    <row r="41" ht="22.35" customHeight="1" s="36">
      <c r="A41" s="68" t="inlineStr">
        <is>
          <t>5.  The indirect-loss calculation uses a mid-life discount approximation (15-year</t>
        </is>
      </c>
    </row>
    <row r="42" ht="15" customHeight="1" s="36">
      <c r="A42" s="68" t="inlineStr">
        <is>
          <t xml:space="preserve">    average lag).</t>
        </is>
      </c>
    </row>
  </sheetData>
  <mergeCells count="5">
    <mergeCell ref="A2:F2"/>
    <mergeCell ref="B23:E23"/>
    <mergeCell ref="A1:F1"/>
    <mergeCell ref="B25:E25"/>
    <mergeCell ref="B24:E24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44"/>
  <sheetViews>
    <sheetView workbookViewId="0">
      <selection activeCell="A1" sqref="A1"/>
    </sheetView>
  </sheetViews>
  <sheetFormatPr baseColWidth="8" defaultRowHeight="15"/>
  <cols>
    <col width="110" customWidth="1" style="36" min="1" max="1"/>
  </cols>
  <sheetData>
    <row r="1">
      <c r="A1" s="69" t="inlineStr">
        <is>
          <t>Source and corrections</t>
        </is>
      </c>
    </row>
    <row r="2">
      <c r="A2" s="70" t="inlineStr"/>
    </row>
    <row r="3">
      <c r="A3" s="71" t="inlineStr">
        <is>
          <t>Canonical version</t>
        </is>
      </c>
    </row>
    <row r="4">
      <c r="A4" s="70" t="inlineStr">
        <is>
          <t>This workbook is downloaded from thelongerlook.com. The canonical URL is:</t>
        </is>
      </c>
    </row>
    <row r="5">
      <c r="A5" s="72" t="inlineStr">
        <is>
          <t>thelongerlook.com/downloads/2026-04-30-uk-tech-iht-model.xlsx</t>
        </is>
      </c>
    </row>
    <row r="6">
      <c r="A6" s="70" t="inlineStr"/>
    </row>
    <row r="7">
      <c r="A7" s="70" t="inlineStr">
        <is>
          <t>The interactive web version of the model sits at:</t>
        </is>
      </c>
    </row>
    <row r="8">
      <c r="A8" s="72" t="inlineStr">
        <is>
          <t>thelongerlook.com/uk-tech-iht-model.html</t>
        </is>
      </c>
    </row>
    <row r="9">
      <c r="A9" s="70" t="inlineStr"/>
    </row>
    <row r="10">
      <c r="A10" s="70" t="inlineStr">
        <is>
          <t>The accompanying funding-stack article is at:</t>
        </is>
      </c>
    </row>
    <row r="11">
      <c r="A11" s="72" t="inlineStr">
        <is>
          <t>thelongerlook.com/articles/2026-04-30-uk-tech-funding-stack.html</t>
        </is>
      </c>
    </row>
    <row r="12">
      <c r="A12" s="70" t="inlineStr"/>
    </row>
    <row r="13">
      <c r="A13" s="71" t="inlineStr">
        <is>
          <t>Corrections log</t>
        </is>
      </c>
    </row>
    <row r="14">
      <c r="A14" s="70" t="inlineStr">
        <is>
          <t>The publication maintains a public corrections page listing every correction since launch with the date,</t>
        </is>
      </c>
    </row>
    <row r="15">
      <c r="A15" s="70" t="inlineStr">
        <is>
          <t>what changed, and why. If you are using a copy of this workbook downloaded some time ago, the corrections</t>
        </is>
      </c>
    </row>
    <row r="16">
      <c r="A16" s="70" t="inlineStr">
        <is>
          <t>page will tell you whether anything in this workbook has been corrected since you downloaded it.</t>
        </is>
      </c>
    </row>
    <row r="17">
      <c r="A17" s="70" t="inlineStr"/>
    </row>
    <row r="18">
      <c r="A18" s="72" t="inlineStr">
        <is>
          <t>Corrections page: thelongerlook.com/corrections.html</t>
        </is>
      </c>
    </row>
    <row r="19">
      <c r="A19" s="70" t="inlineStr"/>
    </row>
    <row r="20">
      <c r="A20" s="71" t="inlineStr">
        <is>
          <t>If you find an error</t>
        </is>
      </c>
    </row>
    <row r="21">
      <c r="A21" s="70" t="inlineStr">
        <is>
          <t>This workbook was produced by Doug Scott prompting four AI tools (Claude, ChatGPT, Grok, Gemini) and</t>
        </is>
      </c>
    </row>
    <row r="22">
      <c r="A22" s="70" t="inlineStr">
        <is>
          <t>answering when the tools prompted back. The AI tools produced the model structure, the formulas, and the</t>
        </is>
      </c>
    </row>
    <row r="23">
      <c r="A23" s="70" t="inlineStr">
        <is>
          <t>cross-critique. Doug scanned the output and decided to ship. No human expert reviewed any of this work</t>
        </is>
      </c>
    </row>
    <row r="24">
      <c r="A24" s="70" t="inlineStr">
        <is>
          <t>before publication.</t>
        </is>
      </c>
    </row>
    <row r="25">
      <c r="A25" s="70" t="inlineStr"/>
    </row>
    <row r="26">
      <c r="A26" s="70" t="inlineStr">
        <is>
          <t>AI cross-critique catches some errors and misses others. The errors AI cross-critique misses are exactly</t>
        </is>
      </c>
    </row>
    <row r="27">
      <c r="A27" s="70" t="inlineStr">
        <is>
          <t>the ones a tax practitioner, IFS economist, fiscal modeller, or CIOT or STEP member would catch on a</t>
        </is>
      </c>
    </row>
    <row r="28">
      <c r="A28" s="70" t="inlineStr">
        <is>
          <t>careful read. If you find an error in this workbook — a formula error, a wrong assumption, an off-by-one</t>
        </is>
      </c>
    </row>
    <row r="29">
      <c r="A29" s="70" t="inlineStr">
        <is>
          <t>in a calculation, a misnamed cell reference, anything — please send the correction. The publication will</t>
        </is>
      </c>
    </row>
    <row r="30">
      <c r="A30" s="70" t="inlineStr">
        <is>
          <t>post it on the corrections page with attribution and update the canonical version of the workbook.</t>
        </is>
      </c>
    </row>
    <row r="31">
      <c r="A31" s="70" t="inlineStr"/>
    </row>
    <row r="32">
      <c r="A32" s="71" t="inlineStr">
        <is>
          <t>Important warning about model output</t>
        </is>
      </c>
    </row>
    <row r="33">
      <c r="A33" s="70" t="inlineStr">
        <is>
          <t>The model's output spans roughly two orders of magnitude across plausible assumption sets. The headline</t>
        </is>
      </c>
    </row>
    <row r="34">
      <c r="A34" s="70" t="inlineStr">
        <is>
          <t>ratio (indirect fiscal effects vs direct) runs from approximately 50x at the conservative end to</t>
        </is>
      </c>
    </row>
    <row r="35">
      <c r="A35" s="70" t="inlineStr">
        <is>
          <t>approximately 1,000x at the optimistic end. The qualitative finding (indirect dominates direct) survives</t>
        </is>
      </c>
    </row>
    <row r="36">
      <c r="A36" s="70" t="inlineStr">
        <is>
          <t>most reasonable assumption sets; the precise magnitude does not. Do not cite a single number from this</t>
        </is>
      </c>
    </row>
    <row r="37">
      <c r="A37" s="70" t="inlineStr">
        <is>
          <t>model as if it were a forecast. Cite the range, with the assumptions named.</t>
        </is>
      </c>
    </row>
    <row r="38">
      <c r="A38" s="70" t="inlineStr"/>
    </row>
    <row r="39">
      <c r="A39" s="71" t="inlineStr">
        <is>
          <t>Licence</t>
        </is>
      </c>
    </row>
    <row r="40">
      <c r="A40" s="70" t="inlineStr">
        <is>
          <t>This workbook is published under a Creative Commons Attribution-NonCommercial 4.0 International licence</t>
        </is>
      </c>
    </row>
    <row r="41">
      <c r="A41" s="70" t="inlineStr">
        <is>
          <t>(CC BY-NC 4.0). Share, translate, adapt for non-commercial use, with credit to the author and to The</t>
        </is>
      </c>
    </row>
    <row r="42">
      <c r="A42" s="70" t="inlineStr">
        <is>
          <t>Longer Look. Commercial reuse and derivative works require permission.</t>
        </is>
      </c>
    </row>
    <row r="43">
      <c r="A43" s="70" t="inlineStr"/>
    </row>
    <row r="44">
      <c r="A44" s="73" t="inlineStr">
        <is>
          <t>Doug Scott  ·  thelongerlook.com  ·  April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2026-04-30T21:56:06Z</dcterms:created>
  <dcterms:modified xmlns:dcterms="http://purl.org/dc/terms/" xmlns:xsi="http://www.w3.org/2001/XMLSchema-instance" xsi:type="dcterms:W3CDTF">2026-05-01T08:07:52Z</dcterms:modified>
  <cp:revision>0</cp:revision>
</cp:coreProperties>
</file>